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0" documentId="13_ncr:1_{F2D5D31B-0464-4D3D-91D3-A918BF7AA848}" xr6:coauthVersionLast="47" xr6:coauthVersionMax="47" xr10:uidLastSave="{00000000-0000-0000-0000-000000000000}"/>
  <bookViews>
    <workbookView xWindow="3270" yWindow="1905" windowWidth="27105" windowHeight="13980" tabRatio="746" activeTab="3" xr2:uid="{00000000-000D-0000-FFFF-FFFF00000000}"/>
  </bookViews>
  <sheets>
    <sheet name="Level Rate -- TRC" sheetId="61" r:id="rId1"/>
    <sheet name="Fixed Costs - TRC" sheetId="72" r:id="rId2"/>
    <sheet name="NEL" sheetId="77" r:id="rId3"/>
    <sheet name="How_to_use" sheetId="67" r:id="rId4"/>
  </sheets>
  <definedNames>
    <definedName name="_Fill" hidden="1">#REF!</definedName>
    <definedName name="solver_typ" localSheetId="0" hidden="1">2</definedName>
    <definedName name="solver_ver" localSheetId="0" hidden="1">17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72" l="1"/>
  <c r="L12" i="72"/>
  <c r="L13" i="72"/>
  <c r="L14" i="72"/>
  <c r="L15" i="72"/>
  <c r="L16" i="72"/>
  <c r="L17" i="72"/>
  <c r="L18" i="72"/>
  <c r="L19" i="72"/>
  <c r="L20" i="72"/>
  <c r="L21" i="72"/>
  <c r="L22" i="72"/>
  <c r="L23" i="72"/>
  <c r="L24" i="72"/>
  <c r="L25" i="72"/>
  <c r="L26" i="72"/>
  <c r="L27" i="72"/>
  <c r="L28" i="72"/>
  <c r="L29" i="72"/>
  <c r="L30" i="72"/>
  <c r="L31" i="72"/>
  <c r="L32" i="72"/>
  <c r="L33" i="72"/>
  <c r="L34" i="72"/>
  <c r="L35" i="72"/>
  <c r="L36" i="72"/>
  <c r="L37" i="72"/>
  <c r="L38" i="72"/>
  <c r="L39" i="72"/>
  <c r="L40" i="72"/>
  <c r="L41" i="72"/>
  <c r="L42" i="72"/>
  <c r="L43" i="72"/>
  <c r="L44" i="72"/>
  <c r="L45" i="72"/>
  <c r="L46" i="72"/>
  <c r="L47" i="72"/>
  <c r="L48" i="72"/>
  <c r="L49" i="72"/>
  <c r="L50" i="72"/>
  <c r="L51" i="72"/>
  <c r="L52" i="72"/>
  <c r="L53" i="72"/>
  <c r="L54" i="72"/>
  <c r="L55" i="72"/>
  <c r="L10" i="72"/>
  <c r="X14" i="61"/>
  <c r="X15" i="61" s="1"/>
  <c r="X16" i="61" s="1"/>
  <c r="X17" i="61" s="1"/>
  <c r="X18" i="61" s="1"/>
  <c r="X19" i="61" s="1"/>
  <c r="X20" i="61" s="1"/>
  <c r="X21" i="61" s="1"/>
  <c r="X22" i="61" s="1"/>
  <c r="X23" i="61" s="1"/>
  <c r="X24" i="61" s="1"/>
  <c r="X25" i="61" s="1"/>
  <c r="X26" i="61" s="1"/>
  <c r="X27" i="61" s="1"/>
  <c r="X28" i="61" s="1"/>
  <c r="X29" i="61" s="1"/>
  <c r="X30" i="61" s="1"/>
  <c r="X31" i="61" s="1"/>
  <c r="X32" i="61" s="1"/>
  <c r="X33" i="61" s="1"/>
  <c r="X34" i="61" s="1"/>
  <c r="X35" i="61" s="1"/>
  <c r="X36" i="61" s="1"/>
  <c r="X37" i="61" s="1"/>
  <c r="X38" i="61" s="1"/>
  <c r="X39" i="61" s="1"/>
  <c r="X40" i="61" s="1"/>
  <c r="X41" i="61" s="1"/>
  <c r="X42" i="61" s="1"/>
  <c r="X43" i="61" s="1"/>
  <c r="X44" i="61" s="1"/>
  <c r="X45" i="61" s="1"/>
  <c r="X46" i="61" s="1"/>
  <c r="X47" i="61" s="1"/>
  <c r="X48" i="61" s="1"/>
  <c r="X49" i="61" s="1"/>
  <c r="X50" i="61" s="1"/>
  <c r="X51" i="61" s="1"/>
  <c r="X52" i="61" s="1"/>
  <c r="X53" i="61" s="1"/>
  <c r="X54" i="61" s="1"/>
  <c r="X55" i="61" s="1"/>
  <c r="X56" i="61" s="1"/>
  <c r="X57" i="61" s="1"/>
  <c r="X58" i="61" s="1"/>
  <c r="O13" i="61" l="1"/>
  <c r="O14" i="61" s="1"/>
  <c r="O15" i="61" s="1"/>
  <c r="O16" i="61" s="1"/>
  <c r="O17" i="61" s="1"/>
  <c r="O18" i="61" s="1"/>
  <c r="O19" i="61" s="1"/>
  <c r="O20" i="61" s="1"/>
  <c r="O21" i="61" s="1"/>
  <c r="O22" i="61" s="1"/>
  <c r="O23" i="61" s="1"/>
  <c r="O24" i="61" s="1"/>
  <c r="O25" i="61" s="1"/>
  <c r="O26" i="61" s="1"/>
  <c r="O27" i="61" s="1"/>
  <c r="O28" i="61" s="1"/>
  <c r="O29" i="61" s="1"/>
  <c r="O30" i="61" s="1"/>
  <c r="O31" i="61" s="1"/>
  <c r="O32" i="61" s="1"/>
  <c r="O33" i="61" s="1"/>
  <c r="O34" i="61" s="1"/>
  <c r="O35" i="61" s="1"/>
  <c r="O36" i="61" s="1"/>
  <c r="O37" i="61" s="1"/>
  <c r="O38" i="61" s="1"/>
  <c r="O39" i="61" s="1"/>
  <c r="O40" i="61" s="1"/>
  <c r="O41" i="61" s="1"/>
  <c r="O42" i="61" s="1"/>
  <c r="O43" i="61" s="1"/>
  <c r="O44" i="61" s="1"/>
  <c r="O45" i="61" s="1"/>
  <c r="O46" i="61" s="1"/>
  <c r="O47" i="61" s="1"/>
  <c r="O48" i="61" s="1"/>
  <c r="O49" i="61" s="1"/>
  <c r="O50" i="61" s="1"/>
  <c r="O51" i="61" s="1"/>
  <c r="O52" i="61" s="1"/>
  <c r="O53" i="61" s="1"/>
  <c r="O54" i="61" s="1"/>
  <c r="O55" i="61" s="1"/>
  <c r="O56" i="61" s="1"/>
  <c r="O57" i="61" s="1"/>
  <c r="O58" i="61" s="1"/>
  <c r="L9" i="72" l="1"/>
  <c r="G55" i="72" l="1"/>
  <c r="M55" i="72" s="1"/>
  <c r="N55" i="72" s="1"/>
  <c r="G54" i="72"/>
  <c r="M54" i="72" s="1"/>
  <c r="N54" i="72" s="1"/>
  <c r="G53" i="72"/>
  <c r="M53" i="72" s="1"/>
  <c r="N53" i="72" s="1"/>
  <c r="G52" i="72"/>
  <c r="M52" i="72" s="1"/>
  <c r="N52" i="72" s="1"/>
  <c r="G51" i="72"/>
  <c r="M51" i="72" s="1"/>
  <c r="N51" i="72" s="1"/>
  <c r="G50" i="72"/>
  <c r="M50" i="72" s="1"/>
  <c r="N50" i="72" s="1"/>
  <c r="G49" i="72"/>
  <c r="M49" i="72" s="1"/>
  <c r="N49" i="72" s="1"/>
  <c r="G48" i="72"/>
  <c r="M48" i="72" s="1"/>
  <c r="N48" i="72" s="1"/>
  <c r="G47" i="72"/>
  <c r="M47" i="72" s="1"/>
  <c r="N47" i="72" s="1"/>
  <c r="G46" i="72"/>
  <c r="M46" i="72" s="1"/>
  <c r="N46" i="72" s="1"/>
  <c r="G45" i="72"/>
  <c r="M45" i="72" s="1"/>
  <c r="N45" i="72" s="1"/>
  <c r="G44" i="72"/>
  <c r="M44" i="72" s="1"/>
  <c r="N44" i="72" s="1"/>
  <c r="G43" i="72"/>
  <c r="M43" i="72" s="1"/>
  <c r="N43" i="72" s="1"/>
  <c r="G42" i="72"/>
  <c r="M42" i="72" s="1"/>
  <c r="N42" i="72" s="1"/>
  <c r="G41" i="72"/>
  <c r="M41" i="72" s="1"/>
  <c r="N41" i="72" s="1"/>
  <c r="G40" i="72"/>
  <c r="M40" i="72" s="1"/>
  <c r="N40" i="72" s="1"/>
  <c r="G39" i="72"/>
  <c r="M39" i="72" s="1"/>
  <c r="N39" i="72" s="1"/>
  <c r="G38" i="72"/>
  <c r="M38" i="72" s="1"/>
  <c r="N38" i="72" s="1"/>
  <c r="G37" i="72"/>
  <c r="M37" i="72" s="1"/>
  <c r="N37" i="72" s="1"/>
  <c r="G36" i="72"/>
  <c r="M36" i="72" s="1"/>
  <c r="N36" i="72" s="1"/>
  <c r="G35" i="72"/>
  <c r="M35" i="72" s="1"/>
  <c r="N35" i="72" s="1"/>
  <c r="G34" i="72"/>
  <c r="M34" i="72" s="1"/>
  <c r="N34" i="72" s="1"/>
  <c r="G33" i="72"/>
  <c r="M33" i="72" s="1"/>
  <c r="N33" i="72" s="1"/>
  <c r="G32" i="72"/>
  <c r="M32" i="72" s="1"/>
  <c r="N32" i="72" s="1"/>
  <c r="G31" i="72"/>
  <c r="M31" i="72" s="1"/>
  <c r="N31" i="72" s="1"/>
  <c r="G30" i="72"/>
  <c r="M30" i="72" s="1"/>
  <c r="N30" i="72" s="1"/>
  <c r="G29" i="72"/>
  <c r="M29" i="72" s="1"/>
  <c r="N29" i="72" s="1"/>
  <c r="G28" i="72"/>
  <c r="M28" i="72" s="1"/>
  <c r="N28" i="72" s="1"/>
  <c r="G27" i="72"/>
  <c r="M27" i="72" s="1"/>
  <c r="N27" i="72" s="1"/>
  <c r="G26" i="72"/>
  <c r="M26" i="72" s="1"/>
  <c r="N26" i="72" s="1"/>
  <c r="G25" i="72"/>
  <c r="M25" i="72" s="1"/>
  <c r="N25" i="72" s="1"/>
  <c r="G24" i="72"/>
  <c r="M24" i="72" s="1"/>
  <c r="N24" i="72" s="1"/>
  <c r="G23" i="72"/>
  <c r="M23" i="72" s="1"/>
  <c r="N23" i="72" s="1"/>
  <c r="G22" i="72"/>
  <c r="M22" i="72" s="1"/>
  <c r="N22" i="72" s="1"/>
  <c r="G21" i="72"/>
  <c r="M21" i="72" s="1"/>
  <c r="N21" i="72" s="1"/>
  <c r="G20" i="72"/>
  <c r="M20" i="72" s="1"/>
  <c r="N20" i="72" s="1"/>
  <c r="G19" i="72"/>
  <c r="M19" i="72" s="1"/>
  <c r="N19" i="72" s="1"/>
  <c r="G18" i="72"/>
  <c r="M18" i="72" s="1"/>
  <c r="N18" i="72" s="1"/>
  <c r="G17" i="72"/>
  <c r="M17" i="72" s="1"/>
  <c r="N17" i="72" s="1"/>
  <c r="G16" i="72"/>
  <c r="M16" i="72" s="1"/>
  <c r="N16" i="72" s="1"/>
  <c r="G15" i="72"/>
  <c r="M15" i="72" s="1"/>
  <c r="N15" i="72" s="1"/>
  <c r="G14" i="72"/>
  <c r="M14" i="72" s="1"/>
  <c r="N14" i="72" s="1"/>
  <c r="G13" i="72"/>
  <c r="M13" i="72" s="1"/>
  <c r="N13" i="72" s="1"/>
  <c r="G12" i="72"/>
  <c r="M12" i="72" s="1"/>
  <c r="N12" i="72" s="1"/>
  <c r="G11" i="72"/>
  <c r="M11" i="72" s="1"/>
  <c r="N11" i="72" s="1"/>
  <c r="G10" i="72"/>
  <c r="M10" i="72" s="1"/>
  <c r="N10" i="72" s="1"/>
  <c r="G9" i="72"/>
  <c r="M9" i="72" s="1"/>
  <c r="N9" i="72" s="1"/>
  <c r="O9" i="72" s="1"/>
  <c r="O10" i="72" l="1"/>
  <c r="O11" i="72" s="1"/>
  <c r="O12" i="72" s="1"/>
  <c r="O13" i="72" s="1"/>
  <c r="O14" i="72" s="1"/>
  <c r="O15" i="72" s="1"/>
  <c r="O16" i="72" s="1"/>
  <c r="O17" i="72" s="1"/>
  <c r="O18" i="72" s="1"/>
  <c r="O19" i="72" s="1"/>
  <c r="O20" i="72" s="1"/>
  <c r="O21" i="72" s="1"/>
  <c r="O22" i="72" s="1"/>
  <c r="O23" i="72" s="1"/>
  <c r="O24" i="72" s="1"/>
  <c r="O25" i="72" s="1"/>
  <c r="O26" i="72" s="1"/>
  <c r="O27" i="72" s="1"/>
  <c r="O28" i="72" s="1"/>
  <c r="O29" i="72" s="1"/>
  <c r="O30" i="72" s="1"/>
  <c r="O31" i="72" s="1"/>
  <c r="O32" i="72" s="1"/>
  <c r="O33" i="72" s="1"/>
  <c r="O34" i="72" s="1"/>
  <c r="O35" i="72" s="1"/>
  <c r="O36" i="72" s="1"/>
  <c r="O37" i="72" s="1"/>
  <c r="O38" i="72" s="1"/>
  <c r="O39" i="72" s="1"/>
  <c r="O40" i="72" s="1"/>
  <c r="O41" i="72" s="1"/>
  <c r="O42" i="72" s="1"/>
  <c r="O43" i="72" s="1"/>
  <c r="O44" i="72" s="1"/>
  <c r="O45" i="72" s="1"/>
  <c r="O46" i="72" s="1"/>
  <c r="O47" i="72" s="1"/>
  <c r="O48" i="72" s="1"/>
  <c r="O49" i="72" s="1"/>
  <c r="O50" i="72" s="1"/>
  <c r="O51" i="72" s="1"/>
  <c r="O52" i="72" s="1"/>
  <c r="O53" i="72" s="1"/>
  <c r="O54" i="72" s="1"/>
  <c r="O55" i="72" s="1"/>
  <c r="Y53" i="61"/>
  <c r="Y54" i="61"/>
  <c r="N58" i="61" l="1"/>
  <c r="P58" i="61" s="1"/>
  <c r="V12" i="61"/>
  <c r="I58" i="61"/>
  <c r="G58" i="61"/>
  <c r="C58" i="61"/>
  <c r="N57" i="61"/>
  <c r="P57" i="61" s="1"/>
  <c r="I57" i="61"/>
  <c r="G57" i="61"/>
  <c r="C57" i="61"/>
  <c r="N56" i="61"/>
  <c r="P56" i="61" s="1"/>
  <c r="I56" i="61"/>
  <c r="G56" i="61"/>
  <c r="C56" i="61"/>
  <c r="N55" i="61"/>
  <c r="P55" i="61" s="1"/>
  <c r="J55" i="61"/>
  <c r="I55" i="61"/>
  <c r="L55" i="61" s="1"/>
  <c r="G55" i="61"/>
  <c r="C55" i="61"/>
  <c r="N54" i="61"/>
  <c r="P54" i="61" s="1"/>
  <c r="J54" i="61"/>
  <c r="I54" i="61"/>
  <c r="L54" i="61" s="1"/>
  <c r="G54" i="61"/>
  <c r="C54" i="61"/>
  <c r="N53" i="61"/>
  <c r="P53" i="61" s="1"/>
  <c r="J53" i="61"/>
  <c r="I53" i="61"/>
  <c r="G53" i="61"/>
  <c r="C53" i="61"/>
  <c r="H55" i="61" l="1"/>
  <c r="M55" i="61" s="1"/>
  <c r="Q55" i="61" s="1"/>
  <c r="H57" i="61"/>
  <c r="H54" i="61"/>
  <c r="M54" i="61" s="1"/>
  <c r="Q54" i="61" s="1"/>
  <c r="L53" i="61"/>
  <c r="Y55" i="61"/>
  <c r="H53" i="61"/>
  <c r="H56" i="61"/>
  <c r="H58" i="61"/>
  <c r="C52" i="61"/>
  <c r="Y46" i="61"/>
  <c r="N52" i="61"/>
  <c r="P52" i="61" s="1"/>
  <c r="G52" i="61"/>
  <c r="N51" i="61"/>
  <c r="P51" i="61" s="1"/>
  <c r="G51" i="61"/>
  <c r="C51" i="61"/>
  <c r="N50" i="61"/>
  <c r="P50" i="61" s="1"/>
  <c r="G50" i="61"/>
  <c r="C50" i="61"/>
  <c r="N49" i="61"/>
  <c r="P49" i="61" s="1"/>
  <c r="G49" i="61"/>
  <c r="C49" i="61"/>
  <c r="N48" i="61"/>
  <c r="P48" i="61" s="1"/>
  <c r="G48" i="61"/>
  <c r="C48" i="61"/>
  <c r="N47" i="61"/>
  <c r="P47" i="61" s="1"/>
  <c r="G47" i="61"/>
  <c r="C47" i="61"/>
  <c r="A6" i="77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J46" i="61"/>
  <c r="J45" i="61"/>
  <c r="J44" i="61"/>
  <c r="J43" i="61"/>
  <c r="J42" i="61"/>
  <c r="J41" i="61"/>
  <c r="J40" i="61"/>
  <c r="J39" i="61"/>
  <c r="J38" i="61"/>
  <c r="J37" i="61"/>
  <c r="J36" i="61"/>
  <c r="J35" i="61"/>
  <c r="J34" i="61"/>
  <c r="J33" i="61"/>
  <c r="J32" i="61"/>
  <c r="J31" i="61"/>
  <c r="J30" i="61"/>
  <c r="J29" i="61"/>
  <c r="J28" i="61"/>
  <c r="J27" i="61"/>
  <c r="J26" i="61"/>
  <c r="J25" i="61"/>
  <c r="J24" i="61"/>
  <c r="J23" i="61"/>
  <c r="J22" i="61"/>
  <c r="L22" i="61" s="1"/>
  <c r="J21" i="61"/>
  <c r="R61" i="61"/>
  <c r="I21" i="61"/>
  <c r="C21" i="61"/>
  <c r="G21" i="61"/>
  <c r="N21" i="61"/>
  <c r="P21" i="61" s="1"/>
  <c r="B11" i="61"/>
  <c r="I22" i="61"/>
  <c r="C22" i="61"/>
  <c r="G22" i="61"/>
  <c r="N22" i="61"/>
  <c r="P22" i="61" s="1"/>
  <c r="I23" i="61"/>
  <c r="C23" i="61"/>
  <c r="G23" i="61"/>
  <c r="N23" i="61"/>
  <c r="P23" i="61" s="1"/>
  <c r="I24" i="61"/>
  <c r="C24" i="61"/>
  <c r="G24" i="61"/>
  <c r="N24" i="61"/>
  <c r="P24" i="61" s="1"/>
  <c r="I25" i="61"/>
  <c r="C25" i="61"/>
  <c r="G25" i="61"/>
  <c r="N25" i="61"/>
  <c r="P25" i="61" s="1"/>
  <c r="I26" i="61"/>
  <c r="L26" i="61" s="1"/>
  <c r="C26" i="61"/>
  <c r="G26" i="61"/>
  <c r="N26" i="61"/>
  <c r="P26" i="61" s="1"/>
  <c r="I27" i="61"/>
  <c r="C27" i="61"/>
  <c r="G27" i="61"/>
  <c r="N27" i="61"/>
  <c r="P27" i="61" s="1"/>
  <c r="I28" i="61"/>
  <c r="C28" i="61"/>
  <c r="G28" i="61"/>
  <c r="N28" i="61"/>
  <c r="P28" i="61" s="1"/>
  <c r="I29" i="61"/>
  <c r="C29" i="61"/>
  <c r="G29" i="61"/>
  <c r="N29" i="61"/>
  <c r="P29" i="61" s="1"/>
  <c r="I30" i="61"/>
  <c r="C30" i="61"/>
  <c r="G30" i="61"/>
  <c r="N30" i="61"/>
  <c r="P30" i="61" s="1"/>
  <c r="I31" i="61"/>
  <c r="C31" i="61"/>
  <c r="G31" i="61"/>
  <c r="N31" i="61"/>
  <c r="P31" i="61" s="1"/>
  <c r="I32" i="61"/>
  <c r="C32" i="61"/>
  <c r="G32" i="61"/>
  <c r="N32" i="61"/>
  <c r="P32" i="61" s="1"/>
  <c r="I33" i="61"/>
  <c r="L33" i="61" s="1"/>
  <c r="C33" i="61"/>
  <c r="G33" i="61"/>
  <c r="N33" i="61"/>
  <c r="P33" i="61" s="1"/>
  <c r="I34" i="61"/>
  <c r="C34" i="61"/>
  <c r="G34" i="61"/>
  <c r="N34" i="61"/>
  <c r="P34" i="61" s="1"/>
  <c r="I35" i="61"/>
  <c r="C35" i="61"/>
  <c r="G35" i="61"/>
  <c r="N35" i="61"/>
  <c r="P35" i="61" s="1"/>
  <c r="I36" i="61"/>
  <c r="C36" i="61"/>
  <c r="G36" i="61"/>
  <c r="N36" i="61"/>
  <c r="P36" i="61" s="1"/>
  <c r="I37" i="61"/>
  <c r="C37" i="61"/>
  <c r="G37" i="61"/>
  <c r="N37" i="61"/>
  <c r="P37" i="61" s="1"/>
  <c r="I38" i="61"/>
  <c r="C38" i="61"/>
  <c r="G38" i="61"/>
  <c r="N38" i="61"/>
  <c r="P38" i="61" s="1"/>
  <c r="I39" i="61"/>
  <c r="C39" i="61"/>
  <c r="G39" i="61"/>
  <c r="N39" i="61"/>
  <c r="P39" i="61" s="1"/>
  <c r="I40" i="61"/>
  <c r="C40" i="61"/>
  <c r="G40" i="61"/>
  <c r="N40" i="61"/>
  <c r="P40" i="61" s="1"/>
  <c r="I41" i="61"/>
  <c r="C41" i="61"/>
  <c r="G41" i="61"/>
  <c r="N41" i="61"/>
  <c r="P41" i="61" s="1"/>
  <c r="I42" i="61"/>
  <c r="C42" i="61"/>
  <c r="G42" i="61"/>
  <c r="N42" i="61"/>
  <c r="P42" i="61" s="1"/>
  <c r="I43" i="61"/>
  <c r="C43" i="61"/>
  <c r="G43" i="61"/>
  <c r="N43" i="61"/>
  <c r="P43" i="61" s="1"/>
  <c r="I44" i="61"/>
  <c r="C44" i="61"/>
  <c r="G44" i="61"/>
  <c r="N44" i="61"/>
  <c r="P44" i="61" s="1"/>
  <c r="I45" i="61"/>
  <c r="C45" i="61"/>
  <c r="G45" i="61"/>
  <c r="N45" i="61"/>
  <c r="P45" i="61" s="1"/>
  <c r="I46" i="61"/>
  <c r="C46" i="61"/>
  <c r="G46" i="61"/>
  <c r="N46" i="61"/>
  <c r="P46" i="61" s="1"/>
  <c r="J12" i="61"/>
  <c r="I12" i="61"/>
  <c r="C12" i="61"/>
  <c r="G12" i="61"/>
  <c r="N12" i="61"/>
  <c r="P12" i="61" s="1"/>
  <c r="J13" i="61"/>
  <c r="I13" i="61"/>
  <c r="C13" i="61"/>
  <c r="G13" i="61"/>
  <c r="N13" i="61"/>
  <c r="P13" i="61" s="1"/>
  <c r="J14" i="61"/>
  <c r="I14" i="61"/>
  <c r="C14" i="61"/>
  <c r="G14" i="61"/>
  <c r="N14" i="61"/>
  <c r="P14" i="61" s="1"/>
  <c r="J15" i="61"/>
  <c r="I15" i="61"/>
  <c r="C15" i="61"/>
  <c r="G15" i="61"/>
  <c r="N15" i="61"/>
  <c r="P15" i="61" s="1"/>
  <c r="J16" i="61"/>
  <c r="I16" i="61"/>
  <c r="C16" i="61"/>
  <c r="G16" i="61"/>
  <c r="N16" i="61"/>
  <c r="P16" i="61" s="1"/>
  <c r="J17" i="61"/>
  <c r="I17" i="61"/>
  <c r="L17" i="61" s="1"/>
  <c r="C17" i="61"/>
  <c r="G17" i="61"/>
  <c r="N17" i="61"/>
  <c r="P17" i="61" s="1"/>
  <c r="J18" i="61"/>
  <c r="I18" i="61"/>
  <c r="C18" i="61"/>
  <c r="G18" i="61"/>
  <c r="N18" i="61"/>
  <c r="P18" i="61" s="1"/>
  <c r="J19" i="61"/>
  <c r="I19" i="61"/>
  <c r="C19" i="61"/>
  <c r="G19" i="61"/>
  <c r="N19" i="61"/>
  <c r="P19" i="61" s="1"/>
  <c r="J20" i="61"/>
  <c r="I20" i="61"/>
  <c r="C20" i="61"/>
  <c r="G20" i="61"/>
  <c r="N20" i="61"/>
  <c r="P20" i="61" s="1"/>
  <c r="Y21" i="61"/>
  <c r="Y22" i="61"/>
  <c r="Y23" i="61"/>
  <c r="Y24" i="61"/>
  <c r="Y25" i="61"/>
  <c r="Y26" i="61"/>
  <c r="Y27" i="61"/>
  <c r="Y28" i="61"/>
  <c r="Y29" i="61"/>
  <c r="Y30" i="61"/>
  <c r="Y31" i="61"/>
  <c r="Y32" i="61"/>
  <c r="Y33" i="61"/>
  <c r="Y34" i="61"/>
  <c r="Y35" i="61"/>
  <c r="Y36" i="61"/>
  <c r="Y37" i="61"/>
  <c r="Y38" i="61"/>
  <c r="Y39" i="61"/>
  <c r="Y40" i="61"/>
  <c r="Y41" i="61"/>
  <c r="Y42" i="61"/>
  <c r="Y43" i="61"/>
  <c r="Y44" i="61"/>
  <c r="Y45" i="61"/>
  <c r="T12" i="61"/>
  <c r="S13" i="61"/>
  <c r="S14" i="61" s="1"/>
  <c r="S15" i="61" s="1"/>
  <c r="A13" i="61"/>
  <c r="Y13" i="61"/>
  <c r="Y14" i="61"/>
  <c r="Y15" i="61"/>
  <c r="Y16" i="61"/>
  <c r="Y17" i="61"/>
  <c r="Y18" i="61"/>
  <c r="Y19" i="61"/>
  <c r="Y20" i="61"/>
  <c r="Y12" i="61"/>
  <c r="M53" i="61" l="1"/>
  <c r="Q53" i="61" s="1"/>
  <c r="L24" i="61"/>
  <c r="L34" i="61"/>
  <c r="L40" i="61"/>
  <c r="Y56" i="61"/>
  <c r="J56" i="61"/>
  <c r="L56" i="61" s="1"/>
  <c r="M56" i="61" s="1"/>
  <c r="Q56" i="61" s="1"/>
  <c r="A14" i="61"/>
  <c r="V13" i="61"/>
  <c r="L32" i="61"/>
  <c r="L14" i="61"/>
  <c r="B13" i="61"/>
  <c r="T13" i="61" s="1"/>
  <c r="L38" i="61"/>
  <c r="L30" i="61"/>
  <c r="L13" i="61"/>
  <c r="L16" i="61"/>
  <c r="L37" i="61"/>
  <c r="L20" i="61"/>
  <c r="L39" i="61"/>
  <c r="L18" i="61"/>
  <c r="L15" i="61"/>
  <c r="L25" i="61"/>
  <c r="L31" i="61"/>
  <c r="H47" i="61"/>
  <c r="B14" i="61"/>
  <c r="B15" i="61" s="1"/>
  <c r="B16" i="61" s="1"/>
  <c r="B17" i="61" s="1"/>
  <c r="B18" i="61" s="1"/>
  <c r="B19" i="61" s="1"/>
  <c r="B20" i="61" s="1"/>
  <c r="B21" i="61" s="1"/>
  <c r="B22" i="61" s="1"/>
  <c r="B23" i="61" s="1"/>
  <c r="B24" i="61" s="1"/>
  <c r="B25" i="61" s="1"/>
  <c r="B26" i="61" s="1"/>
  <c r="B27" i="61" s="1"/>
  <c r="B28" i="61" s="1"/>
  <c r="B29" i="61" s="1"/>
  <c r="B30" i="61" s="1"/>
  <c r="B31" i="61" s="1"/>
  <c r="B32" i="61" s="1"/>
  <c r="B33" i="61" s="1"/>
  <c r="B34" i="61" s="1"/>
  <c r="B35" i="61" s="1"/>
  <c r="B36" i="61" s="1"/>
  <c r="B37" i="61" s="1"/>
  <c r="B38" i="61" s="1"/>
  <c r="H50" i="61"/>
  <c r="H19" i="61"/>
  <c r="H40" i="61"/>
  <c r="H27" i="61"/>
  <c r="H48" i="61"/>
  <c r="H49" i="61"/>
  <c r="H28" i="61"/>
  <c r="H36" i="61"/>
  <c r="H25" i="61"/>
  <c r="H45" i="61"/>
  <c r="H38" i="61"/>
  <c r="H35" i="61"/>
  <c r="H31" i="61"/>
  <c r="H14" i="61"/>
  <c r="H29" i="61"/>
  <c r="H26" i="61"/>
  <c r="M26" i="61" s="1"/>
  <c r="Q26" i="61" s="1"/>
  <c r="H21" i="61"/>
  <c r="H16" i="61"/>
  <c r="H37" i="61"/>
  <c r="H51" i="61"/>
  <c r="H22" i="61"/>
  <c r="M22" i="61" s="1"/>
  <c r="Q22" i="61" s="1"/>
  <c r="H15" i="61"/>
  <c r="H44" i="61"/>
  <c r="H41" i="61"/>
  <c r="H39" i="61"/>
  <c r="H30" i="61"/>
  <c r="M30" i="61" s="1"/>
  <c r="Q30" i="61" s="1"/>
  <c r="H46" i="61"/>
  <c r="H24" i="61"/>
  <c r="M24" i="61" s="1"/>
  <c r="Q24" i="61" s="1"/>
  <c r="S16" i="61"/>
  <c r="L19" i="61"/>
  <c r="H18" i="61"/>
  <c r="L35" i="61"/>
  <c r="L28" i="61"/>
  <c r="J47" i="61"/>
  <c r="Y47" i="61"/>
  <c r="H13" i="61"/>
  <c r="H34" i="61"/>
  <c r="H20" i="61"/>
  <c r="L41" i="61"/>
  <c r="H17" i="61"/>
  <c r="M17" i="61" s="1"/>
  <c r="Q17" i="61" s="1"/>
  <c r="H42" i="61"/>
  <c r="H33" i="61"/>
  <c r="M33" i="61" s="1"/>
  <c r="Q33" i="61" s="1"/>
  <c r="L23" i="61"/>
  <c r="L27" i="61"/>
  <c r="L36" i="61"/>
  <c r="L21" i="61"/>
  <c r="H52" i="61"/>
  <c r="H23" i="61"/>
  <c r="L29" i="61"/>
  <c r="L12" i="61"/>
  <c r="H12" i="61"/>
  <c r="H43" i="61"/>
  <c r="H32" i="61"/>
  <c r="I47" i="61"/>
  <c r="M14" i="61" l="1"/>
  <c r="Q14" i="61" s="1"/>
  <c r="M34" i="61"/>
  <c r="Q34" i="61" s="1"/>
  <c r="R34" i="61" s="1"/>
  <c r="M32" i="61"/>
  <c r="Q32" i="61" s="1"/>
  <c r="R32" i="61" s="1"/>
  <c r="M40" i="61"/>
  <c r="Q40" i="61" s="1"/>
  <c r="Y57" i="61"/>
  <c r="J57" i="61"/>
  <c r="L57" i="61" s="1"/>
  <c r="M57" i="61" s="1"/>
  <c r="Q57" i="61" s="1"/>
  <c r="M37" i="61"/>
  <c r="Q37" i="61" s="1"/>
  <c r="R37" i="61" s="1"/>
  <c r="M16" i="61"/>
  <c r="Q16" i="61" s="1"/>
  <c r="R16" i="61" s="1"/>
  <c r="M39" i="61"/>
  <c r="Q39" i="61" s="1"/>
  <c r="M31" i="61"/>
  <c r="Q31" i="61" s="1"/>
  <c r="R31" i="61" s="1"/>
  <c r="M13" i="61"/>
  <c r="Q13" i="61" s="1"/>
  <c r="R13" i="61" s="1"/>
  <c r="M38" i="61"/>
  <c r="Q38" i="61" s="1"/>
  <c r="R38" i="61" s="1"/>
  <c r="A15" i="61"/>
  <c r="V14" i="61"/>
  <c r="M12" i="61"/>
  <c r="Q12" i="61" s="1"/>
  <c r="R12" i="61" s="1"/>
  <c r="M15" i="61"/>
  <c r="Q15" i="61" s="1"/>
  <c r="R15" i="61" s="1"/>
  <c r="M18" i="61"/>
  <c r="Q18" i="61" s="1"/>
  <c r="R18" i="61" s="1"/>
  <c r="M20" i="61"/>
  <c r="Q20" i="61" s="1"/>
  <c r="R20" i="61" s="1"/>
  <c r="T15" i="61"/>
  <c r="M25" i="61"/>
  <c r="Q25" i="61" s="1"/>
  <c r="R25" i="61" s="1"/>
  <c r="M28" i="61"/>
  <c r="Q28" i="61" s="1"/>
  <c r="R28" i="61" s="1"/>
  <c r="M29" i="61"/>
  <c r="Q29" i="61" s="1"/>
  <c r="R29" i="61" s="1"/>
  <c r="M36" i="61"/>
  <c r="Q36" i="61" s="1"/>
  <c r="R36" i="61" s="1"/>
  <c r="R30" i="61"/>
  <c r="R14" i="61"/>
  <c r="R33" i="61"/>
  <c r="R22" i="61"/>
  <c r="T14" i="61"/>
  <c r="R24" i="61"/>
  <c r="R26" i="61"/>
  <c r="R17" i="61"/>
  <c r="M27" i="61"/>
  <c r="Q27" i="61" s="1"/>
  <c r="R27" i="61" s="1"/>
  <c r="M41" i="61"/>
  <c r="Q41" i="61" s="1"/>
  <c r="M35" i="61"/>
  <c r="Q35" i="61" s="1"/>
  <c r="R35" i="61" s="1"/>
  <c r="M19" i="61"/>
  <c r="Q19" i="61" s="1"/>
  <c r="R19" i="61" s="1"/>
  <c r="M21" i="61"/>
  <c r="Q21" i="61" s="1"/>
  <c r="R21" i="61" s="1"/>
  <c r="J48" i="61"/>
  <c r="Y48" i="61"/>
  <c r="T16" i="61"/>
  <c r="S17" i="61"/>
  <c r="L42" i="61"/>
  <c r="M42" i="61" s="1"/>
  <c r="Q42" i="61" s="1"/>
  <c r="I48" i="61"/>
  <c r="M23" i="61"/>
  <c r="Q23" i="61" s="1"/>
  <c r="R23" i="61" s="1"/>
  <c r="B39" i="61"/>
  <c r="Y58" i="61" l="1"/>
  <c r="J58" i="61"/>
  <c r="L58" i="61" s="1"/>
  <c r="M58" i="61" s="1"/>
  <c r="Q58" i="61" s="1"/>
  <c r="A16" i="61"/>
  <c r="V15" i="61"/>
  <c r="L43" i="61"/>
  <c r="M43" i="61" s="1"/>
  <c r="Q43" i="61" s="1"/>
  <c r="I49" i="61"/>
  <c r="B40" i="61"/>
  <c r="R39" i="61"/>
  <c r="S18" i="61"/>
  <c r="T17" i="61"/>
  <c r="J49" i="61"/>
  <c r="Y49" i="61"/>
  <c r="A17" i="61" l="1"/>
  <c r="V16" i="61"/>
  <c r="I50" i="61"/>
  <c r="Y50" i="61"/>
  <c r="J50" i="61"/>
  <c r="L44" i="61"/>
  <c r="M44" i="61" s="1"/>
  <c r="Q44" i="61" s="1"/>
  <c r="S19" i="61"/>
  <c r="T18" i="61"/>
  <c r="B41" i="61"/>
  <c r="R40" i="61"/>
  <c r="A18" i="61" l="1"/>
  <c r="V17" i="61"/>
  <c r="B42" i="61"/>
  <c r="R41" i="61"/>
  <c r="T19" i="61"/>
  <c r="S20" i="61"/>
  <c r="L45" i="61"/>
  <c r="M45" i="61" s="1"/>
  <c r="Q45" i="61" s="1"/>
  <c r="Y51" i="61"/>
  <c r="W59" i="61"/>
  <c r="J51" i="61"/>
  <c r="X59" i="61"/>
  <c r="I51" i="61"/>
  <c r="A19" i="61" l="1"/>
  <c r="V18" i="61"/>
  <c r="L46" i="61"/>
  <c r="M46" i="61" s="1"/>
  <c r="Q46" i="61" s="1"/>
  <c r="Y52" i="61"/>
  <c r="Y59" i="61" s="1"/>
  <c r="J52" i="61"/>
  <c r="T20" i="61"/>
  <c r="S21" i="61"/>
  <c r="B43" i="61"/>
  <c r="R42" i="61"/>
  <c r="I52" i="61"/>
  <c r="A20" i="61" l="1"/>
  <c r="V19" i="61"/>
  <c r="S22" i="61"/>
  <c r="T21" i="61"/>
  <c r="B44" i="61"/>
  <c r="R43" i="61"/>
  <c r="L47" i="61"/>
  <c r="M47" i="61" s="1"/>
  <c r="Q47" i="61" s="1"/>
  <c r="A21" i="61" l="1"/>
  <c r="V20" i="61"/>
  <c r="L48" i="61"/>
  <c r="M48" i="61" s="1"/>
  <c r="Q48" i="61" s="1"/>
  <c r="S23" i="61"/>
  <c r="T22" i="61"/>
  <c r="B45" i="61"/>
  <c r="R44" i="61"/>
  <c r="A22" i="61" l="1"/>
  <c r="V21" i="61"/>
  <c r="S24" i="61"/>
  <c r="T23" i="61"/>
  <c r="B46" i="61"/>
  <c r="R45" i="61"/>
  <c r="L49" i="61"/>
  <c r="M49" i="61" s="1"/>
  <c r="Q49" i="61" s="1"/>
  <c r="A23" i="61" l="1"/>
  <c r="V22" i="61"/>
  <c r="L50" i="61"/>
  <c r="M50" i="61" s="1"/>
  <c r="Q50" i="61" s="1"/>
  <c r="B47" i="61"/>
  <c r="R46" i="61"/>
  <c r="T24" i="61"/>
  <c r="S25" i="61"/>
  <c r="A24" i="61" l="1"/>
  <c r="V23" i="61"/>
  <c r="B48" i="61"/>
  <c r="R47" i="61"/>
  <c r="L51" i="61"/>
  <c r="M51" i="61" s="1"/>
  <c r="Q51" i="61" s="1"/>
  <c r="T25" i="61"/>
  <c r="S26" i="61"/>
  <c r="A25" i="61" l="1"/>
  <c r="V24" i="61"/>
  <c r="L52" i="61"/>
  <c r="M52" i="61" s="1"/>
  <c r="Q52" i="61" s="1"/>
  <c r="S27" i="61"/>
  <c r="T26" i="61"/>
  <c r="B49" i="61"/>
  <c r="R48" i="61"/>
  <c r="A26" i="61" l="1"/>
  <c r="V25" i="61"/>
  <c r="T27" i="61"/>
  <c r="S28" i="61"/>
  <c r="B50" i="61"/>
  <c r="R49" i="61"/>
  <c r="A27" i="61" l="1"/>
  <c r="V26" i="61"/>
  <c r="B51" i="61"/>
  <c r="R50" i="61"/>
  <c r="T28" i="61"/>
  <c r="S29" i="61"/>
  <c r="A28" i="61" l="1"/>
  <c r="V27" i="61"/>
  <c r="S30" i="61"/>
  <c r="T29" i="61"/>
  <c r="B52" i="61"/>
  <c r="R51" i="61"/>
  <c r="R52" i="61" l="1"/>
  <c r="B53" i="61"/>
  <c r="A29" i="61"/>
  <c r="V28" i="61"/>
  <c r="S31" i="61"/>
  <c r="T30" i="61"/>
  <c r="B54" i="61" l="1"/>
  <c r="R53" i="61"/>
  <c r="A30" i="61"/>
  <c r="V29" i="61"/>
  <c r="T31" i="61"/>
  <c r="S32" i="61"/>
  <c r="A31" i="61" l="1"/>
  <c r="V30" i="61"/>
  <c r="B55" i="61"/>
  <c r="R54" i="61"/>
  <c r="T32" i="61"/>
  <c r="S33" i="61"/>
  <c r="B56" i="61" l="1"/>
  <c r="R55" i="61"/>
  <c r="A32" i="61"/>
  <c r="V31" i="61"/>
  <c r="S34" i="61"/>
  <c r="T33" i="61"/>
  <c r="A33" i="61" l="1"/>
  <c r="V32" i="61"/>
  <c r="B57" i="61"/>
  <c r="R56" i="61"/>
  <c r="S35" i="61"/>
  <c r="T34" i="61"/>
  <c r="B58" i="61" l="1"/>
  <c r="R58" i="61" s="1"/>
  <c r="R57" i="61"/>
  <c r="A34" i="61"/>
  <c r="V33" i="61"/>
  <c r="T35" i="61"/>
  <c r="S36" i="61"/>
  <c r="R59" i="61" l="1"/>
  <c r="A35" i="61"/>
  <c r="V34" i="61"/>
  <c r="T36" i="61"/>
  <c r="S37" i="61"/>
  <c r="A36" i="61" l="1"/>
  <c r="V35" i="61"/>
  <c r="T37" i="61"/>
  <c r="S38" i="61"/>
  <c r="A37" i="61" l="1"/>
  <c r="V36" i="61"/>
  <c r="S39" i="61"/>
  <c r="T38" i="61"/>
  <c r="A38" i="61" l="1"/>
  <c r="V37" i="61"/>
  <c r="S40" i="61"/>
  <c r="T39" i="61"/>
  <c r="A39" i="61" l="1"/>
  <c r="V38" i="61"/>
  <c r="T40" i="61"/>
  <c r="S41" i="61"/>
  <c r="A40" i="61" l="1"/>
  <c r="V39" i="61"/>
  <c r="T41" i="61"/>
  <c r="S42" i="61"/>
  <c r="A41" i="61" l="1"/>
  <c r="V40" i="61"/>
  <c r="S43" i="61"/>
  <c r="T42" i="61"/>
  <c r="A42" i="61" l="1"/>
  <c r="V41" i="61"/>
  <c r="T43" i="61"/>
  <c r="S44" i="61"/>
  <c r="A43" i="61" l="1"/>
  <c r="V42" i="61"/>
  <c r="T44" i="61"/>
  <c r="S45" i="61"/>
  <c r="A44" i="61" l="1"/>
  <c r="V43" i="61"/>
  <c r="S46" i="61"/>
  <c r="T45" i="61"/>
  <c r="A45" i="61" l="1"/>
  <c r="V44" i="61"/>
  <c r="S47" i="61"/>
  <c r="T46" i="61"/>
  <c r="A46" i="61" l="1"/>
  <c r="V45" i="61"/>
  <c r="T47" i="61"/>
  <c r="S48" i="61"/>
  <c r="A47" i="61" l="1"/>
  <c r="V46" i="61"/>
  <c r="T48" i="61"/>
  <c r="S49" i="61"/>
  <c r="A48" i="61" l="1"/>
  <c r="V47" i="61"/>
  <c r="S50" i="61"/>
  <c r="T49" i="61"/>
  <c r="A49" i="61" l="1"/>
  <c r="V48" i="61"/>
  <c r="S51" i="61"/>
  <c r="T50" i="61"/>
  <c r="A50" i="61" l="1"/>
  <c r="V49" i="61"/>
  <c r="T51" i="61"/>
  <c r="S52" i="61"/>
  <c r="T52" i="61" l="1"/>
  <c r="S53" i="61"/>
  <c r="A51" i="61"/>
  <c r="V50" i="61"/>
  <c r="A52" i="61" l="1"/>
  <c r="V51" i="61"/>
  <c r="S54" i="61"/>
  <c r="T53" i="61"/>
  <c r="T54" i="61" l="1"/>
  <c r="S55" i="61"/>
  <c r="A53" i="61"/>
  <c r="V52" i="61"/>
  <c r="V53" i="61" l="1"/>
  <c r="A54" i="61"/>
  <c r="T55" i="61"/>
  <c r="S56" i="61"/>
  <c r="S57" i="61" l="1"/>
  <c r="T56" i="61"/>
  <c r="A55" i="61"/>
  <c r="V54" i="61"/>
  <c r="A56" i="61" l="1"/>
  <c r="V55" i="61"/>
  <c r="T57" i="61"/>
  <c r="S58" i="61"/>
  <c r="T58" i="61" s="1"/>
  <c r="T59" i="61" l="1"/>
  <c r="A57" i="61"/>
  <c r="V56" i="61"/>
  <c r="A58" i="61" l="1"/>
  <c r="V58" i="61" s="1"/>
  <c r="V57" i="61"/>
</calcChain>
</file>

<file path=xl/sharedStrings.xml><?xml version="1.0" encoding="utf-8"?>
<sst xmlns="http://schemas.openxmlformats.org/spreadsheetml/2006/main" count="158" uniqueCount="86">
  <si>
    <t>Annual</t>
  </si>
  <si>
    <t>Total</t>
  </si>
  <si>
    <t>NPV</t>
  </si>
  <si>
    <t>Discount</t>
  </si>
  <si>
    <t>Generation</t>
  </si>
  <si>
    <t xml:space="preserve">System </t>
  </si>
  <si>
    <t>Emission</t>
  </si>
  <si>
    <t>Cumulative</t>
  </si>
  <si>
    <t>Capital</t>
  </si>
  <si>
    <t>Net Fuel</t>
  </si>
  <si>
    <t>Costs</t>
  </si>
  <si>
    <t>Annual Cost</t>
  </si>
  <si>
    <t>Total Costs</t>
  </si>
  <si>
    <t>Year</t>
  </si>
  <si>
    <t>(Millions)</t>
  </si>
  <si>
    <t>Startup</t>
  </si>
  <si>
    <t>Fixed</t>
  </si>
  <si>
    <t>($000)</t>
  </si>
  <si>
    <t xml:space="preserve">Transmission </t>
  </si>
  <si>
    <t>Nominal</t>
  </si>
  <si>
    <t>Revenue</t>
  </si>
  <si>
    <t>Levelized System</t>
  </si>
  <si>
    <t>Factor</t>
  </si>
  <si>
    <t>Requirements</t>
  </si>
  <si>
    <t>Rate</t>
  </si>
  <si>
    <t>Average Rate</t>
  </si>
  <si>
    <t>(GWH)</t>
  </si>
  <si>
    <t>(cents/kWh)</t>
  </si>
  <si>
    <t>Variable Costs</t>
  </si>
  <si>
    <t>Fixed Costs</t>
  </si>
  <si>
    <t>NEL Forecast</t>
  </si>
  <si>
    <t>DSM Energy</t>
  </si>
  <si>
    <t>NEL Adjusted</t>
  </si>
  <si>
    <t>for DSM</t>
  </si>
  <si>
    <t>Other Costs</t>
  </si>
  <si>
    <t>HOW TO CALCULATE THE LEVEL RATE</t>
  </si>
  <si>
    <t>DSM</t>
  </si>
  <si>
    <t>"Other" Program Costs -</t>
  </si>
  <si>
    <t>No New DSM</t>
  </si>
  <si>
    <t>Costs Associated for</t>
  </si>
  <si>
    <t>existing Load</t>
  </si>
  <si>
    <t>Management Customer</t>
  </si>
  <si>
    <t>Other</t>
  </si>
  <si>
    <t>Admin Costs</t>
  </si>
  <si>
    <t>Incentive Costs</t>
  </si>
  <si>
    <t>Existing</t>
  </si>
  <si>
    <t>Load Control</t>
  </si>
  <si>
    <t>Total Annual</t>
  </si>
  <si>
    <t>Case name:</t>
  </si>
  <si>
    <t>Date:</t>
  </si>
  <si>
    <t xml:space="preserve">Factor </t>
  </si>
  <si>
    <t>T+D Costs</t>
  </si>
  <si>
    <t>(Avoided)</t>
  </si>
  <si>
    <t>Interconnection</t>
  </si>
  <si>
    <t>NEL</t>
  </si>
  <si>
    <t>MWh</t>
  </si>
  <si>
    <t>(7) =</t>
  </si>
  <si>
    <t>(3)+(4)+(5)+(6)</t>
  </si>
  <si>
    <t>(8)+(9)+(10)</t>
  </si>
  <si>
    <t xml:space="preserve">(11) = </t>
  </si>
  <si>
    <t>(12) = (2)+(7)+(11)</t>
  </si>
  <si>
    <t>(15) = (13) - (14)</t>
  </si>
  <si>
    <t xml:space="preserve"> (16) = (12)/(15)</t>
  </si>
  <si>
    <t xml:space="preserve"> (17) = (16) *(1)</t>
  </si>
  <si>
    <t>(19) = (18) * (1)</t>
  </si>
  <si>
    <t>Levelized System Average Rate (2024-2070, 2024 cents/kWh)=</t>
  </si>
  <si>
    <t>Fixed O&amp;M &amp;</t>
  </si>
  <si>
    <t>Capital Replacement</t>
  </si>
  <si>
    <t>System Fixed Costs</t>
  </si>
  <si>
    <t>System Variable Costs</t>
  </si>
  <si>
    <t>VOM + PTC</t>
  </si>
  <si>
    <t>Variable</t>
  </si>
  <si>
    <t xml:space="preserve"> -- Click on cell T58, which is at the bottom of the "NPV Levelized System Average Rate column".</t>
  </si>
  <si>
    <t xml:space="preserve"> -- In the "To Value" box, enter the number that appears in cell R58</t>
  </si>
  <si>
    <t xml:space="preserve"> -- In the "By Changing Cell" box, enter S11</t>
  </si>
  <si>
    <t xml:space="preserve"> -- Click OK, and see that the cells S and R in row 58 have the same value.</t>
  </si>
  <si>
    <t>rev. 3-14-2024</t>
  </si>
  <si>
    <t xml:space="preserve"> -- Click [Data] , [What-if Analysis], [Goal Seek...]</t>
  </si>
  <si>
    <t>Calculation of System Average Levelized Rate -- Portfolio: TRC</t>
  </si>
  <si>
    <t>TRC</t>
  </si>
  <si>
    <t>GWh Impact</t>
  </si>
  <si>
    <t>20240012-EG</t>
  </si>
  <si>
    <t>FPL 000058</t>
  </si>
  <si>
    <t>FPL 000059</t>
  </si>
  <si>
    <t>FPL 000060</t>
  </si>
  <si>
    <t>FPL 000061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</si>
</sst>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"/>
    <numFmt numFmtId="166" formatCode="0_);\(0\)"/>
    <numFmt numFmtId="167" formatCode="General_)"/>
    <numFmt numFmtId="168" formatCode="0.00000"/>
    <numFmt numFmtId="169" formatCode="0.0000"/>
    <numFmt numFmtId="170" formatCode="#,##0.000"/>
    <numFmt numFmtId="171" formatCode="m/d/yyyy;;\-"/>
    <numFmt numFmtId="172" formatCode="_ * #,##0_ ;_ * \-#,##0_ ;_ * &quot;-&quot;_ ;_ @_ "/>
    <numFmt numFmtId="173" formatCode="_ * #,##0.00_ ;_ * \-#,##0.00_ ;_ * &quot;-&quot;??_ ;_ @_ "/>
    <numFmt numFmtId="174" formatCode="0.00%;\(0.00%\)"/>
    <numFmt numFmtId="175" formatCode="_(* #,##0_);_(* \(#,##0\);_(* &quot;-&quot;_)"/>
    <numFmt numFmtId="176" formatCode="0.000%;\(0.000%\);0%"/>
    <numFmt numFmtId="177" formatCode="&quot;$&quot;#.;\(&quot;$&quot;#,\)"/>
    <numFmt numFmtId="178" formatCode="_([$€-2]* #,##0.00_);_([$€-2]* \(#,##0.00\);_([$€-2]* &quot;-&quot;??_)"/>
    <numFmt numFmtId="179" formatCode="&quot;$&quot;#,\);\(&quot;$&quot;#,\)"/>
    <numFmt numFmtId="180" formatCode="#,##0.00000"/>
    <numFmt numFmtId="181" formatCode="#,##0.000000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10"/>
      <color indexed="10"/>
      <name val="Times New Roman"/>
      <family val="1"/>
    </font>
    <font>
      <b/>
      <sz val="11"/>
      <color indexed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Souvienne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sz val="10"/>
      <name val="MS Serif"/>
      <family val="1"/>
    </font>
    <font>
      <sz val="8"/>
      <name val="Arial"/>
      <family val="2"/>
    </font>
    <font>
      <sz val="10"/>
      <color indexed="16"/>
      <name val="MS Serif"/>
      <family val="1"/>
    </font>
    <font>
      <sz val="8"/>
      <name val="Arial MT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2"/>
      <name val="Arial MT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9"/>
      <name val="Arial"/>
      <family val="2"/>
    </font>
    <font>
      <sz val="8"/>
      <name val="Helv"/>
    </font>
    <font>
      <sz val="8"/>
      <color indexed="56"/>
      <name val="Garamond"/>
      <family val="1"/>
    </font>
    <font>
      <b/>
      <sz val="8"/>
      <color indexed="8"/>
      <name val="Helv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8.25"/>
      <name val="Microsoft Sans Serif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sz val="11"/>
      <color indexed="0"/>
      <name val="Calibri"/>
      <family val="2"/>
    </font>
    <font>
      <sz val="11"/>
      <color rgb="FF2D2F32"/>
      <name val="Calibri"/>
      <family val="2"/>
    </font>
    <font>
      <sz val="9.75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E6FA"/>
      </patternFill>
    </fill>
    <fill>
      <patternFill patternType="solid">
        <fgColor rgb="FFFFF6E9"/>
      </patternFill>
    </fill>
    <fill>
      <patternFill patternType="solid">
        <fgColor rgb="FFB0C4DE"/>
      </patternFill>
    </fill>
    <fill>
      <patternFill patternType="solid">
        <fgColor rgb="FFF5F5F5"/>
      </patternFill>
    </fill>
    <fill>
      <patternFill patternType="solid">
        <fgColor rgb="FFF0F8FF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79">
    <xf numFmtId="0" fontId="0" fillId="0" borderId="0"/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5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0" fontId="24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4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5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7" borderId="0" applyNumberFormat="0" applyBorder="0" applyAlignment="0" applyProtection="0"/>
    <xf numFmtId="0" fontId="25" fillId="4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21" borderId="0" applyNumberFormat="0" applyBorder="0" applyAlignment="0" applyProtection="0"/>
    <xf numFmtId="0" fontId="25" fillId="13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15" borderId="0" applyNumberFormat="0" applyBorder="0" applyAlignment="0" applyProtection="0"/>
    <xf numFmtId="39" fontId="26" fillId="0" borderId="0" applyNumberFormat="0" applyFill="0" applyBorder="0" applyAlignment="0">
      <protection locked="0"/>
    </xf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177" fontId="23" fillId="0" borderId="0" applyFill="0" applyBorder="0" applyAlignment="0"/>
    <xf numFmtId="0" fontId="28" fillId="24" borderId="1" applyNumberFormat="0" applyAlignment="0" applyProtection="0"/>
    <xf numFmtId="0" fontId="29" fillId="25" borderId="1" applyNumberFormat="0" applyAlignment="0" applyProtection="0"/>
    <xf numFmtId="0" fontId="30" fillId="26" borderId="2" applyNumberFormat="0" applyAlignment="0" applyProtection="0"/>
    <xf numFmtId="0" fontId="30" fillId="26" borderId="2" applyNumberFormat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 applyNumberFormat="0" applyAlignment="0">
      <alignment horizontal="left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34" fillId="0" borderId="0" applyNumberFormat="0" applyAlignment="0">
      <alignment horizontal="left"/>
    </xf>
    <xf numFmtId="178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7" fillId="7" borderId="0" applyNumberFormat="0" applyBorder="0" applyAlignment="0" applyProtection="0"/>
    <xf numFmtId="38" fontId="33" fillId="27" borderId="0" applyNumberFormat="0" applyBorder="0" applyAlignment="0" applyProtection="0"/>
    <xf numFmtId="0" fontId="20" fillId="0" borderId="3" applyNumberFormat="0" applyAlignment="0" applyProtection="0">
      <alignment horizontal="left" vertical="center"/>
    </xf>
    <xf numFmtId="0" fontId="20" fillId="0" borderId="4">
      <alignment horizontal="left" vertical="center"/>
    </xf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1" borderId="1" applyNumberFormat="0" applyAlignment="0" applyProtection="0"/>
    <xf numFmtId="10" fontId="33" fillId="28" borderId="11" applyNumberFormat="0" applyBorder="0" applyAlignment="0" applyProtection="0"/>
    <xf numFmtId="0" fontId="44" fillId="8" borderId="1" applyNumberFormat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172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7" fillId="11" borderId="0" applyNumberFormat="0" applyBorder="0" applyAlignment="0" applyProtection="0"/>
    <xf numFmtId="0" fontId="48" fillId="11" borderId="0" applyNumberFormat="0" applyBorder="0" applyAlignment="0" applyProtection="0"/>
    <xf numFmtId="179" fontId="23" fillId="0" borderId="0"/>
    <xf numFmtId="165" fontId="23" fillId="0" borderId="0">
      <alignment horizontal="left" wrapText="1"/>
    </xf>
    <xf numFmtId="0" fontId="8" fillId="0" borderId="0"/>
    <xf numFmtId="0" fontId="23" fillId="0" borderId="0"/>
    <xf numFmtId="0" fontId="23" fillId="0" borderId="0"/>
    <xf numFmtId="165" fontId="49" fillId="0" borderId="0">
      <alignment horizontal="left" wrapText="1"/>
    </xf>
    <xf numFmtId="0" fontId="23" fillId="0" borderId="0"/>
    <xf numFmtId="165" fontId="23" fillId="0" borderId="0">
      <alignment horizontal="left" wrapText="1"/>
    </xf>
    <xf numFmtId="0" fontId="23" fillId="0" borderId="0"/>
    <xf numFmtId="165" fontId="23" fillId="0" borderId="0">
      <alignment horizontal="left" wrapText="1"/>
    </xf>
    <xf numFmtId="0" fontId="23" fillId="0" borderId="0"/>
    <xf numFmtId="165" fontId="23" fillId="0" borderId="0">
      <alignment horizontal="left" wrapText="1"/>
    </xf>
    <xf numFmtId="0" fontId="8" fillId="0" borderId="0"/>
    <xf numFmtId="0" fontId="33" fillId="0" borderId="0"/>
    <xf numFmtId="0" fontId="8" fillId="0" borderId="0"/>
    <xf numFmtId="167" fontId="49" fillId="0" borderId="0"/>
    <xf numFmtId="0" fontId="31" fillId="0" borderId="0"/>
    <xf numFmtId="0" fontId="6" fillId="0" borderId="0"/>
    <xf numFmtId="165" fontId="50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0" fontId="13" fillId="0" borderId="0"/>
    <xf numFmtId="0" fontId="23" fillId="6" borderId="14" applyNumberFormat="0" applyFont="0" applyAlignment="0" applyProtection="0"/>
    <xf numFmtId="0" fontId="49" fillId="6" borderId="14" applyNumberFormat="0" applyFont="0" applyAlignment="0" applyProtection="0"/>
    <xf numFmtId="0" fontId="51" fillId="24" borderId="15" applyNumberFormat="0" applyAlignment="0" applyProtection="0"/>
    <xf numFmtId="0" fontId="51" fillId="25" borderId="15" applyNumberFormat="0" applyAlignment="0" applyProtection="0"/>
    <xf numFmtId="40" fontId="52" fillId="29" borderId="0">
      <alignment horizontal="right"/>
    </xf>
    <xf numFmtId="0" fontId="53" fillId="29" borderId="0">
      <alignment horizontal="right"/>
    </xf>
    <xf numFmtId="0" fontId="54" fillId="29" borderId="16"/>
    <xf numFmtId="0" fontId="54" fillId="0" borderId="0" applyBorder="0">
      <alignment horizontal="centerContinuous"/>
    </xf>
    <xf numFmtId="0" fontId="55" fillId="0" borderId="0" applyBorder="0">
      <alignment horizontal="centerContinuous"/>
    </xf>
    <xf numFmtId="9" fontId="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56" fillId="30" borderId="11" applyNumberFormat="0" applyProtection="0">
      <alignment horizontal="center" vertical="center" wrapText="1"/>
    </xf>
    <xf numFmtId="14" fontId="57" fillId="0" borderId="0" applyNumberFormat="0" applyFill="0" applyBorder="0" applyAlignment="0" applyProtection="0">
      <alignment horizontal="left"/>
    </xf>
    <xf numFmtId="165" fontId="23" fillId="0" borderId="0">
      <alignment horizontal="left" wrapText="1"/>
    </xf>
    <xf numFmtId="165" fontId="23" fillId="0" borderId="0">
      <alignment horizontal="left" wrapText="1"/>
    </xf>
    <xf numFmtId="2" fontId="58" fillId="0" borderId="0" applyProtection="0"/>
    <xf numFmtId="165" fontId="23" fillId="0" borderId="0">
      <alignment horizontal="left" wrapText="1"/>
    </xf>
    <xf numFmtId="40" fontId="59" fillId="0" borderId="0" applyBorder="0">
      <alignment horizontal="right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2" fillId="0" borderId="18" applyNumberFormat="0" applyFill="0" applyAlignment="0" applyProtection="0"/>
    <xf numFmtId="3" fontId="2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0" fontId="2" fillId="0" borderId="0"/>
    <xf numFmtId="165" fontId="3" fillId="0" borderId="0">
      <alignment horizontal="left" wrapText="1"/>
    </xf>
    <xf numFmtId="0" fontId="63" fillId="0" borderId="0"/>
    <xf numFmtId="0" fontId="2" fillId="0" borderId="0"/>
    <xf numFmtId="9" fontId="3" fillId="0" borderId="0" applyFont="0" applyFill="0" applyBorder="0" applyAlignment="0" applyProtection="0"/>
    <xf numFmtId="0" fontId="64" fillId="0" borderId="0">
      <alignment vertical="top"/>
      <protection locked="0"/>
    </xf>
    <xf numFmtId="0" fontId="2" fillId="0" borderId="0"/>
    <xf numFmtId="0" fontId="3" fillId="0" borderId="0"/>
    <xf numFmtId="165" fontId="3" fillId="0" borderId="0">
      <alignment horizontal="left" wrapText="1"/>
    </xf>
    <xf numFmtId="0" fontId="65" fillId="0" borderId="0">
      <alignment vertical="center"/>
    </xf>
    <xf numFmtId="0" fontId="66" fillId="38" borderId="0">
      <alignment vertical="center"/>
    </xf>
    <xf numFmtId="0" fontId="67" fillId="39" borderId="0">
      <alignment vertical="center"/>
    </xf>
    <xf numFmtId="0" fontId="65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7" fillId="40" borderId="0">
      <alignment vertical="center"/>
    </xf>
    <xf numFmtId="0" fontId="69" fillId="41" borderId="50">
      <alignment vertical="center" wrapText="1"/>
    </xf>
    <xf numFmtId="0" fontId="69" fillId="42" borderId="0">
      <alignment vertical="center"/>
    </xf>
    <xf numFmtId="165" fontId="3" fillId="0" borderId="0">
      <alignment horizontal="left" wrapText="1"/>
    </xf>
    <xf numFmtId="0" fontId="2" fillId="0" borderId="0"/>
    <xf numFmtId="0" fontId="3" fillId="0" borderId="0"/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0" fontId="3" fillId="0" borderId="0" applyNumberFormat="0" applyFill="0" applyBorder="0" applyAlignment="0" applyProtection="0"/>
    <xf numFmtId="177" fontId="3" fillId="0" borderId="0" applyFill="0" applyBorder="0" applyAlignmen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8" fontId="4" fillId="27" borderId="0" applyNumberFormat="0" applyBorder="0" applyAlignment="0" applyProtection="0"/>
    <xf numFmtId="10" fontId="4" fillId="28" borderId="11" applyNumberFormat="0" applyBorder="0" applyAlignment="0" applyProtection="0"/>
    <xf numFmtId="179" fontId="3" fillId="0" borderId="0"/>
    <xf numFmtId="165" fontId="3" fillId="0" borderId="0">
      <alignment horizontal="left" wrapText="1"/>
    </xf>
    <xf numFmtId="165" fontId="3" fillId="0" borderId="0">
      <alignment horizontal="left" wrapText="1"/>
    </xf>
    <xf numFmtId="0" fontId="3" fillId="0" borderId="0"/>
    <xf numFmtId="0" fontId="3" fillId="0" borderId="0"/>
    <xf numFmtId="165" fontId="3" fillId="0" borderId="0">
      <alignment horizontal="left" wrapText="1"/>
    </xf>
    <xf numFmtId="0" fontId="4" fillId="0" borderId="0"/>
    <xf numFmtId="0" fontId="3" fillId="6" borderId="14" applyNumberFormat="0" applyFont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3" fillId="0" borderId="0">
      <alignment horizontal="left" wrapText="1"/>
    </xf>
    <xf numFmtId="165" fontId="3" fillId="0" borderId="0">
      <alignment horizontal="left" wrapText="1"/>
    </xf>
    <xf numFmtId="3" fontId="3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0" fontId="3" fillId="0" borderId="0" applyNumberFormat="0" applyFill="0" applyBorder="0" applyAlignment="0" applyProtection="0"/>
    <xf numFmtId="177" fontId="3" fillId="0" borderId="0" applyFill="0" applyBorder="0" applyAlignmen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8" fontId="4" fillId="27" borderId="0" applyNumberFormat="0" applyBorder="0" applyAlignment="0" applyProtection="0"/>
    <xf numFmtId="10" fontId="4" fillId="28" borderId="11" applyNumberFormat="0" applyBorder="0" applyAlignment="0" applyProtection="0"/>
    <xf numFmtId="179" fontId="3" fillId="0" borderId="0"/>
    <xf numFmtId="165" fontId="3" fillId="0" borderId="0">
      <alignment horizontal="left" wrapText="1"/>
    </xf>
    <xf numFmtId="165" fontId="3" fillId="0" borderId="0">
      <alignment horizontal="left" wrapText="1"/>
    </xf>
    <xf numFmtId="0" fontId="3" fillId="0" borderId="0"/>
    <xf numFmtId="0" fontId="3" fillId="0" borderId="0"/>
    <xf numFmtId="165" fontId="3" fillId="0" borderId="0">
      <alignment horizontal="left" wrapText="1"/>
    </xf>
    <xf numFmtId="0" fontId="4" fillId="0" borderId="0"/>
    <xf numFmtId="0" fontId="3" fillId="0" borderId="0"/>
    <xf numFmtId="0" fontId="3" fillId="6" borderId="14" applyNumberFormat="0" applyFont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3" fillId="0" borderId="0">
      <alignment horizontal="left" wrapText="1"/>
    </xf>
    <xf numFmtId="165" fontId="3" fillId="0" borderId="0">
      <alignment horizontal="left" wrapText="1"/>
    </xf>
    <xf numFmtId="3" fontId="3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97">
    <xf numFmtId="0" fontId="0" fillId="0" borderId="0" xfId="0"/>
    <xf numFmtId="0" fontId="16" fillId="0" borderId="0" xfId="196" applyFont="1" applyAlignment="1">
      <alignment horizontal="center"/>
    </xf>
    <xf numFmtId="0" fontId="5" fillId="0" borderId="0" xfId="0" applyFont="1"/>
    <xf numFmtId="0" fontId="15" fillId="0" borderId="0" xfId="196" applyFont="1" applyAlignment="1">
      <alignment horizontal="center"/>
    </xf>
    <xf numFmtId="0" fontId="15" fillId="0" borderId="0" xfId="196" applyFont="1"/>
    <xf numFmtId="166" fontId="15" fillId="0" borderId="0" xfId="196" applyNumberFormat="1" applyFont="1" applyAlignment="1">
      <alignment horizontal="center"/>
    </xf>
    <xf numFmtId="0" fontId="17" fillId="0" borderId="0" xfId="196" applyFont="1" applyAlignment="1">
      <alignment horizontal="center"/>
    </xf>
    <xf numFmtId="168" fontId="15" fillId="0" borderId="0" xfId="196" applyNumberFormat="1" applyFont="1" applyAlignment="1">
      <alignment horizontal="center"/>
    </xf>
    <xf numFmtId="0" fontId="15" fillId="0" borderId="0" xfId="196" applyFont="1" applyBorder="1"/>
    <xf numFmtId="0" fontId="15" fillId="0" borderId="3" xfId="196" applyFont="1" applyBorder="1"/>
    <xf numFmtId="0" fontId="15" fillId="0" borderId="3" xfId="196" applyFont="1" applyBorder="1" applyAlignment="1">
      <alignment horizontal="center"/>
    </xf>
    <xf numFmtId="3" fontId="15" fillId="0" borderId="0" xfId="196" applyNumberFormat="1" applyFont="1"/>
    <xf numFmtId="0" fontId="18" fillId="0" borderId="0" xfId="0" applyFont="1" applyFill="1" applyBorder="1"/>
    <xf numFmtId="0" fontId="18" fillId="0" borderId="0" xfId="196" applyFont="1" applyAlignment="1">
      <alignment horizontal="center"/>
    </xf>
    <xf numFmtId="169" fontId="15" fillId="0" borderId="0" xfId="196" applyNumberFormat="1" applyFont="1" applyAlignment="1">
      <alignment horizontal="center"/>
    </xf>
    <xf numFmtId="0" fontId="15" fillId="0" borderId="0" xfId="196" applyFont="1" applyAlignment="1"/>
    <xf numFmtId="0" fontId="15" fillId="0" borderId="0" xfId="196" applyFont="1" applyAlignment="1">
      <alignment vertical="center"/>
    </xf>
    <xf numFmtId="3" fontId="15" fillId="0" borderId="0" xfId="196" applyNumberFormat="1" applyFont="1" applyAlignment="1">
      <alignment horizontal="center"/>
    </xf>
    <xf numFmtId="0" fontId="15" fillId="0" borderId="0" xfId="196" quotePrefix="1" applyFont="1"/>
    <xf numFmtId="0" fontId="18" fillId="0" borderId="0" xfId="0" applyFont="1" applyFill="1" applyBorder="1" applyAlignment="1">
      <alignment horizontal="center"/>
    </xf>
    <xf numFmtId="0" fontId="12" fillId="0" borderId="0" xfId="196" applyFont="1" applyAlignment="1">
      <alignment horizontal="center"/>
    </xf>
    <xf numFmtId="168" fontId="15" fillId="0" borderId="0" xfId="196" applyNumberFormat="1" applyFont="1" applyBorder="1" applyAlignment="1">
      <alignment horizontal="center"/>
    </xf>
    <xf numFmtId="0" fontId="18" fillId="0" borderId="0" xfId="0" applyFont="1" applyFill="1" applyBorder="1" applyAlignment="1" applyProtection="1">
      <alignment horizontal="left"/>
    </xf>
    <xf numFmtId="0" fontId="15" fillId="0" borderId="19" xfId="196" applyFont="1" applyBorder="1" applyAlignment="1">
      <alignment horizontal="center"/>
    </xf>
    <xf numFmtId="166" fontId="15" fillId="0" borderId="20" xfId="196" applyNumberFormat="1" applyFont="1" applyBorder="1" applyAlignment="1">
      <alignment horizontal="center"/>
    </xf>
    <xf numFmtId="0" fontId="15" fillId="0" borderId="21" xfId="196" applyFont="1" applyBorder="1" applyAlignment="1">
      <alignment horizontal="center"/>
    </xf>
    <xf numFmtId="0" fontId="15" fillId="0" borderId="0" xfId="196" applyFont="1" applyBorder="1" applyAlignment="1">
      <alignment horizontal="center"/>
    </xf>
    <xf numFmtId="166" fontId="15" fillId="0" borderId="22" xfId="196" applyNumberFormat="1" applyFont="1" applyBorder="1" applyAlignment="1">
      <alignment horizontal="center"/>
    </xf>
    <xf numFmtId="0" fontId="15" fillId="0" borderId="23" xfId="196" applyFont="1" applyBorder="1" applyAlignment="1">
      <alignment horizontal="center"/>
    </xf>
    <xf numFmtId="0" fontId="15" fillId="0" borderId="11" xfId="196" applyFont="1" applyBorder="1" applyAlignment="1">
      <alignment horizontal="center"/>
    </xf>
    <xf numFmtId="168" fontId="15" fillId="0" borderId="11" xfId="196" applyNumberFormat="1" applyFont="1" applyBorder="1" applyAlignment="1">
      <alignment horizontal="center"/>
    </xf>
    <xf numFmtId="0" fontId="15" fillId="0" borderId="24" xfId="196" applyFont="1" applyBorder="1" applyAlignment="1">
      <alignment horizontal="center"/>
    </xf>
    <xf numFmtId="0" fontId="15" fillId="0" borderId="25" xfId="196" applyFont="1" applyBorder="1" applyAlignment="1">
      <alignment horizontal="center"/>
    </xf>
    <xf numFmtId="0" fontId="15" fillId="0" borderId="26" xfId="196" applyFont="1" applyBorder="1" applyAlignment="1">
      <alignment horizontal="center"/>
    </xf>
    <xf numFmtId="3" fontId="15" fillId="0" borderId="11" xfId="196" applyNumberFormat="1" applyFont="1" applyFill="1" applyBorder="1" applyAlignment="1">
      <alignment horizontal="center"/>
    </xf>
    <xf numFmtId="169" fontId="15" fillId="0" borderId="11" xfId="196" applyNumberFormat="1" applyFont="1" applyBorder="1" applyAlignment="1">
      <alignment horizontal="center"/>
    </xf>
    <xf numFmtId="49" fontId="15" fillId="0" borderId="26" xfId="196" applyNumberFormat="1" applyFont="1" applyBorder="1" applyAlignment="1">
      <alignment horizontal="center"/>
    </xf>
    <xf numFmtId="49" fontId="15" fillId="0" borderId="25" xfId="196" applyNumberFormat="1" applyFont="1" applyBorder="1" applyAlignment="1">
      <alignment horizontal="center"/>
    </xf>
    <xf numFmtId="38" fontId="15" fillId="0" borderId="11" xfId="196" applyNumberFormat="1" applyFont="1" applyFill="1" applyBorder="1" applyAlignment="1">
      <alignment horizontal="center"/>
    </xf>
    <xf numFmtId="0" fontId="15" fillId="0" borderId="0" xfId="196" applyFont="1" applyFill="1" applyBorder="1" applyAlignment="1"/>
    <xf numFmtId="0" fontId="15" fillId="0" borderId="0" xfId="196" applyFont="1" applyFill="1" applyBorder="1"/>
    <xf numFmtId="2" fontId="15" fillId="0" borderId="0" xfId="196" applyNumberFormat="1" applyFont="1" applyFill="1" applyBorder="1" applyAlignment="1">
      <alignment horizontal="center"/>
    </xf>
    <xf numFmtId="0" fontId="15" fillId="0" borderId="0" xfId="196" applyFont="1" applyFill="1" applyBorder="1" applyAlignment="1">
      <alignment horizontal="center"/>
    </xf>
    <xf numFmtId="3" fontId="15" fillId="0" borderId="0" xfId="196" applyNumberFormat="1" applyFont="1" applyFill="1" applyBorder="1" applyAlignment="1">
      <alignment horizontal="center"/>
    </xf>
    <xf numFmtId="0" fontId="15" fillId="0" borderId="0" xfId="196" applyFont="1" applyFill="1" applyBorder="1" applyAlignment="1">
      <alignment vertical="center"/>
    </xf>
    <xf numFmtId="0" fontId="15" fillId="0" borderId="0" xfId="196" applyFont="1" applyFill="1" applyBorder="1" applyAlignment="1">
      <alignment horizontal="center" vertical="center"/>
    </xf>
    <xf numFmtId="3" fontId="15" fillId="0" borderId="0" xfId="196" applyNumberFormat="1" applyFont="1" applyFill="1" applyBorder="1"/>
    <xf numFmtId="2" fontId="15" fillId="0" borderId="0" xfId="196" applyNumberFormat="1" applyFont="1" applyFill="1" applyBorder="1" applyAlignment="1">
      <alignment horizontal="center" vertical="center"/>
    </xf>
    <xf numFmtId="164" fontId="15" fillId="0" borderId="0" xfId="196" applyNumberFormat="1" applyFont="1" applyFill="1" applyBorder="1" applyAlignment="1">
      <alignment horizontal="center"/>
    </xf>
    <xf numFmtId="164" fontId="15" fillId="0" borderId="0" xfId="196" applyNumberFormat="1" applyFont="1" applyFill="1" applyBorder="1" applyAlignment="1">
      <alignment horizontal="center" vertical="center"/>
    </xf>
    <xf numFmtId="166" fontId="15" fillId="0" borderId="22" xfId="196" applyNumberFormat="1" applyFont="1" applyFill="1" applyBorder="1" applyAlignment="1">
      <alignment horizontal="center"/>
    </xf>
    <xf numFmtId="166" fontId="15" fillId="0" borderId="20" xfId="196" applyNumberFormat="1" applyFont="1" applyFill="1" applyBorder="1" applyAlignment="1">
      <alignment horizontal="center"/>
    </xf>
    <xf numFmtId="0" fontId="15" fillId="0" borderId="23" xfId="196" applyFont="1" applyFill="1" applyBorder="1" applyAlignment="1">
      <alignment horizontal="center"/>
    </xf>
    <xf numFmtId="0" fontId="15" fillId="0" borderId="0" xfId="196" applyFont="1" applyFill="1" applyAlignment="1">
      <alignment horizontal="center"/>
    </xf>
    <xf numFmtId="0" fontId="15" fillId="0" borderId="25" xfId="196" applyFont="1" applyFill="1" applyBorder="1" applyAlignment="1">
      <alignment horizontal="center"/>
    </xf>
    <xf numFmtId="0" fontId="15" fillId="0" borderId="26" xfId="196" applyFont="1" applyFill="1" applyBorder="1" applyAlignment="1">
      <alignment horizontal="center"/>
    </xf>
    <xf numFmtId="169" fontId="15" fillId="0" borderId="11" xfId="196" applyNumberFormat="1" applyFont="1" applyFill="1" applyBorder="1" applyAlignment="1">
      <alignment horizontal="center"/>
    </xf>
    <xf numFmtId="1" fontId="15" fillId="0" borderId="0" xfId="196" applyNumberFormat="1" applyFont="1" applyAlignment="1">
      <alignment horizontal="center"/>
    </xf>
    <xf numFmtId="164" fontId="15" fillId="0" borderId="11" xfId="196" applyNumberFormat="1" applyFont="1" applyFill="1" applyBorder="1" applyAlignment="1">
      <alignment horizontal="center"/>
    </xf>
    <xf numFmtId="169" fontId="19" fillId="0" borderId="28" xfId="196" applyNumberFormat="1" applyFont="1" applyBorder="1" applyAlignment="1">
      <alignment horizontal="center"/>
    </xf>
    <xf numFmtId="0" fontId="16" fillId="0" borderId="0" xfId="196" applyFont="1" applyFill="1" applyAlignment="1">
      <alignment horizontal="center"/>
    </xf>
    <xf numFmtId="0" fontId="5" fillId="0" borderId="0" xfId="195" applyNumberFormat="1" applyFont="1" applyFill="1" applyAlignment="1"/>
    <xf numFmtId="0" fontId="7" fillId="0" borderId="0" xfId="195" applyNumberFormat="1" applyFont="1" applyFill="1" applyAlignment="1"/>
    <xf numFmtId="0" fontId="9" fillId="0" borderId="0" xfId="195" applyNumberFormat="1" applyFont="1" applyFill="1" applyAlignment="1"/>
    <xf numFmtId="0" fontId="16" fillId="33" borderId="29" xfId="195" applyNumberFormat="1" applyFont="1" applyFill="1" applyBorder="1" applyAlignment="1">
      <alignment horizontal="left" vertical="center"/>
    </xf>
    <xf numFmtId="0" fontId="16" fillId="33" borderId="3" xfId="195" applyNumberFormat="1" applyFont="1" applyFill="1" applyBorder="1" applyAlignment="1">
      <alignment vertical="center"/>
    </xf>
    <xf numFmtId="0" fontId="6" fillId="33" borderId="3" xfId="195" applyNumberFormat="1" applyFont="1" applyFill="1" applyBorder="1" applyAlignment="1">
      <alignment vertical="center" wrapText="1"/>
    </xf>
    <xf numFmtId="14" fontId="20" fillId="33" borderId="28" xfId="195" applyNumberFormat="1" applyFont="1" applyFill="1" applyBorder="1" applyAlignment="1">
      <alignment horizontal="center" vertical="center"/>
    </xf>
    <xf numFmtId="0" fontId="6" fillId="0" borderId="0" xfId="195" applyNumberFormat="1" applyFont="1" applyFill="1" applyBorder="1" applyAlignment="1">
      <alignment wrapText="1"/>
    </xf>
    <xf numFmtId="0" fontId="3" fillId="0" borderId="0" xfId="195" applyNumberFormat="1" applyFill="1" applyBorder="1" applyAlignment="1">
      <alignment horizontal="center"/>
    </xf>
    <xf numFmtId="0" fontId="7" fillId="0" borderId="19" xfId="195" applyNumberFormat="1" applyFont="1" applyFill="1" applyBorder="1" applyAlignment="1">
      <alignment horizontal="center"/>
    </xf>
    <xf numFmtId="0" fontId="11" fillId="0" borderId="22" xfId="195" applyNumberFormat="1" applyFont="1" applyFill="1" applyBorder="1" applyAlignment="1">
      <alignment horizontal="center"/>
    </xf>
    <xf numFmtId="0" fontId="7" fillId="0" borderId="21" xfId="195" applyNumberFormat="1" applyFont="1" applyFill="1" applyBorder="1" applyAlignment="1">
      <alignment horizontal="center"/>
    </xf>
    <xf numFmtId="0" fontId="11" fillId="0" borderId="23" xfId="195" applyNumberFormat="1" applyFont="1" applyFill="1" applyBorder="1" applyAlignment="1">
      <alignment horizontal="center"/>
    </xf>
    <xf numFmtId="0" fontId="7" fillId="0" borderId="21" xfId="195" applyNumberFormat="1" applyFont="1" applyFill="1" applyBorder="1" applyAlignment="1"/>
    <xf numFmtId="164" fontId="5" fillId="0" borderId="11" xfId="195" applyNumberFormat="1" applyFont="1" applyFill="1" applyBorder="1" applyAlignment="1">
      <alignment horizontal="center"/>
    </xf>
    <xf numFmtId="3" fontId="5" fillId="0" borderId="11" xfId="195" applyNumberFormat="1" applyFont="1" applyFill="1" applyBorder="1" applyAlignment="1">
      <alignment horizontal="center"/>
    </xf>
    <xf numFmtId="3" fontId="5" fillId="34" borderId="31" xfId="195" applyNumberFormat="1" applyFont="1" applyFill="1" applyBorder="1" applyAlignment="1">
      <alignment horizontal="center"/>
    </xf>
    <xf numFmtId="3" fontId="7" fillId="0" borderId="32" xfId="195" applyNumberFormat="1" applyFont="1" applyFill="1" applyBorder="1" applyAlignment="1">
      <alignment horizontal="center"/>
    </xf>
    <xf numFmtId="164" fontId="5" fillId="0" borderId="27" xfId="195" applyNumberFormat="1" applyFont="1" applyFill="1" applyBorder="1" applyAlignment="1">
      <alignment horizontal="center"/>
    </xf>
    <xf numFmtId="166" fontId="15" fillId="29" borderId="22" xfId="196" applyNumberFormat="1" applyFont="1" applyFill="1" applyBorder="1" applyAlignment="1">
      <alignment horizontal="center"/>
    </xf>
    <xf numFmtId="0" fontId="15" fillId="29" borderId="23" xfId="196" applyFont="1" applyFill="1" applyBorder="1" applyAlignment="1">
      <alignment horizontal="center"/>
    </xf>
    <xf numFmtId="49" fontId="15" fillId="29" borderId="25" xfId="196" applyNumberFormat="1" applyFont="1" applyFill="1" applyBorder="1" applyAlignment="1">
      <alignment horizontal="center"/>
    </xf>
    <xf numFmtId="38" fontId="15" fillId="29" borderId="11" xfId="196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34" borderId="33" xfId="0" applyNumberFormat="1" applyFont="1" applyFill="1" applyBorder="1" applyAlignment="1">
      <alignment horizontal="center"/>
    </xf>
    <xf numFmtId="0" fontId="11" fillId="0" borderId="34" xfId="0" applyNumberFormat="1" applyFont="1" applyFill="1" applyBorder="1" applyAlignment="1">
      <alignment horizontal="center"/>
    </xf>
    <xf numFmtId="0" fontId="11" fillId="34" borderId="35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center"/>
    </xf>
    <xf numFmtId="3" fontId="18" fillId="0" borderId="11" xfId="196" applyNumberFormat="1" applyFont="1" applyFill="1" applyBorder="1" applyAlignment="1">
      <alignment horizontal="center"/>
    </xf>
    <xf numFmtId="0" fontId="18" fillId="0" borderId="23" xfId="196" applyFont="1" applyFill="1" applyBorder="1" applyAlignment="1">
      <alignment horizontal="center"/>
    </xf>
    <xf numFmtId="10" fontId="18" fillId="34" borderId="25" xfId="206" applyNumberFormat="1" applyFont="1" applyFill="1" applyBorder="1" applyAlignment="1">
      <alignment horizontal="center"/>
    </xf>
    <xf numFmtId="164" fontId="18" fillId="0" borderId="11" xfId="196" applyNumberFormat="1" applyFont="1" applyFill="1" applyBorder="1" applyAlignment="1">
      <alignment horizontal="center"/>
    </xf>
    <xf numFmtId="0" fontId="15" fillId="0" borderId="23" xfId="196" applyFont="1" applyBorder="1"/>
    <xf numFmtId="0" fontId="19" fillId="0" borderId="29" xfId="196" applyFont="1" applyBorder="1"/>
    <xf numFmtId="3" fontId="5" fillId="0" borderId="0" xfId="194" applyNumberFormat="1" applyFont="1" applyBorder="1" applyAlignment="1">
      <alignment horizontal="center" wrapText="1"/>
    </xf>
    <xf numFmtId="166" fontId="15" fillId="27" borderId="22" xfId="196" applyNumberFormat="1" applyFont="1" applyFill="1" applyBorder="1" applyAlignment="1">
      <alignment horizontal="center"/>
    </xf>
    <xf numFmtId="0" fontId="15" fillId="27" borderId="23" xfId="196" applyFont="1" applyFill="1" applyBorder="1"/>
    <xf numFmtId="0" fontId="15" fillId="27" borderId="23" xfId="196" applyFont="1" applyFill="1" applyBorder="1" applyAlignment="1">
      <alignment horizontal="center"/>
    </xf>
    <xf numFmtId="49" fontId="15" fillId="27" borderId="25" xfId="196" applyNumberFormat="1" applyFont="1" applyFill="1" applyBorder="1" applyAlignment="1">
      <alignment horizontal="center"/>
    </xf>
    <xf numFmtId="3" fontId="15" fillId="27" borderId="11" xfId="196" applyNumberFormat="1" applyFont="1" applyFill="1" applyBorder="1" applyAlignment="1">
      <alignment horizontal="center"/>
    </xf>
    <xf numFmtId="0" fontId="17" fillId="32" borderId="33" xfId="196" applyFont="1" applyFill="1" applyBorder="1" applyAlignment="1">
      <alignment horizontal="center"/>
    </xf>
    <xf numFmtId="3" fontId="15" fillId="32" borderId="35" xfId="196" applyNumberFormat="1" applyFont="1" applyFill="1" applyBorder="1" applyAlignment="1">
      <alignment horizontal="center"/>
    </xf>
    <xf numFmtId="168" fontId="19" fillId="27" borderId="36" xfId="196" applyNumberFormat="1" applyFont="1" applyFill="1" applyBorder="1" applyAlignment="1">
      <alignment horizontal="center"/>
    </xf>
    <xf numFmtId="169" fontId="19" fillId="31" borderId="11" xfId="196" applyNumberFormat="1" applyFont="1" applyFill="1" applyBorder="1" applyAlignment="1">
      <alignment horizontal="center"/>
    </xf>
    <xf numFmtId="0" fontId="5" fillId="0" borderId="0" xfId="195" applyNumberFormat="1" applyFont="1" applyFill="1" applyBorder="1" applyAlignment="1"/>
    <xf numFmtId="0" fontId="5" fillId="0" borderId="3" xfId="195" applyNumberFormat="1" applyFont="1" applyFill="1" applyBorder="1" applyAlignment="1"/>
    <xf numFmtId="0" fontId="22" fillId="0" borderId="0" xfId="196" applyFont="1" applyBorder="1" applyAlignment="1"/>
    <xf numFmtId="180" fontId="15" fillId="0" borderId="0" xfId="196" applyNumberFormat="1" applyFont="1"/>
    <xf numFmtId="180" fontId="19" fillId="0" borderId="0" xfId="196" applyNumberFormat="1" applyFont="1"/>
    <xf numFmtId="181" fontId="15" fillId="0" borderId="0" xfId="196" applyNumberFormat="1" applyFont="1" applyAlignment="1">
      <alignment horizontal="center"/>
    </xf>
    <xf numFmtId="180" fontId="15" fillId="0" borderId="0" xfId="196" applyNumberFormat="1" applyFont="1" applyAlignment="1">
      <alignment horizontal="center"/>
    </xf>
    <xf numFmtId="0" fontId="24" fillId="0" borderId="0" xfId="0" applyNumberFormat="1" applyFont="1" applyFill="1" applyBorder="1" applyAlignment="1" applyProtection="1"/>
    <xf numFmtId="0" fontId="7" fillId="0" borderId="31" xfId="228" applyNumberFormat="1" applyFont="1" applyBorder="1" applyAlignment="1">
      <alignment horizontal="center"/>
    </xf>
    <xf numFmtId="0" fontId="7" fillId="0" borderId="30" xfId="228" applyNumberFormat="1" applyFont="1" applyBorder="1" applyAlignment="1">
      <alignment horizontal="center"/>
    </xf>
    <xf numFmtId="0" fontId="7" fillId="0" borderId="46" xfId="228" applyNumberFormat="1" applyFont="1" applyBorder="1" applyAlignment="1">
      <alignment horizontal="center"/>
    </xf>
    <xf numFmtId="164" fontId="15" fillId="0" borderId="11" xfId="196" applyNumberFormat="1" applyFont="1" applyBorder="1" applyAlignment="1">
      <alignment horizontal="center"/>
    </xf>
    <xf numFmtId="0" fontId="10" fillId="0" borderId="23" xfId="228" applyNumberFormat="1" applyFont="1" applyBorder="1" applyAlignment="1">
      <alignment horizontal="center" vertical="center" wrapText="1"/>
    </xf>
    <xf numFmtId="3" fontId="7" fillId="36" borderId="30" xfId="228" applyNumberFormat="1" applyFont="1" applyFill="1" applyBorder="1" applyAlignment="1">
      <alignment horizontal="center"/>
    </xf>
    <xf numFmtId="3" fontId="7" fillId="36" borderId="31" xfId="228" applyNumberFormat="1" applyFont="1" applyFill="1" applyBorder="1" applyAlignment="1">
      <alignment horizontal="center"/>
    </xf>
    <xf numFmtId="3" fontId="7" fillId="36" borderId="46" xfId="228" applyNumberFormat="1" applyFont="1" applyFill="1" applyBorder="1" applyAlignment="1">
      <alignment horizontal="center"/>
    </xf>
    <xf numFmtId="3" fontId="5" fillId="35" borderId="11" xfId="228" applyNumberFormat="1" applyFont="1" applyFill="1" applyBorder="1" applyAlignment="1">
      <alignment horizontal="center"/>
    </xf>
    <xf numFmtId="3" fontId="5" fillId="35" borderId="27" xfId="228" applyNumberFormat="1" applyFont="1" applyFill="1" applyBorder="1" applyAlignment="1">
      <alignment horizontal="center"/>
    </xf>
    <xf numFmtId="3" fontId="5" fillId="35" borderId="47" xfId="228" applyNumberFormat="1" applyFont="1" applyFill="1" applyBorder="1" applyAlignment="1">
      <alignment horizontal="center"/>
    </xf>
    <xf numFmtId="38" fontId="5" fillId="0" borderId="44" xfId="228" applyNumberFormat="1" applyFont="1" applyBorder="1" applyAlignment="1">
      <alignment horizontal="center"/>
    </xf>
    <xf numFmtId="38" fontId="5" fillId="0" borderId="27" xfId="228" applyNumberFormat="1" applyFont="1" applyBorder="1" applyAlignment="1">
      <alignment horizontal="center"/>
    </xf>
    <xf numFmtId="38" fontId="5" fillId="0" borderId="11" xfId="228" applyNumberFormat="1" applyFont="1" applyBorder="1" applyAlignment="1">
      <alignment horizontal="center"/>
    </xf>
    <xf numFmtId="38" fontId="5" fillId="0" borderId="45" xfId="228" applyNumberFormat="1" applyFont="1" applyBorder="1" applyAlignment="1">
      <alignment horizontal="center"/>
    </xf>
    <xf numFmtId="38" fontId="5" fillId="0" borderId="48" xfId="228" applyNumberFormat="1" applyFont="1" applyBorder="1" applyAlignment="1">
      <alignment horizontal="center"/>
    </xf>
    <xf numFmtId="38" fontId="5" fillId="0" borderId="47" xfId="228" applyNumberFormat="1" applyFont="1" applyBorder="1" applyAlignment="1">
      <alignment horizontal="center"/>
    </xf>
    <xf numFmtId="38" fontId="5" fillId="0" borderId="49" xfId="228" applyNumberFormat="1" applyFont="1" applyBorder="1" applyAlignment="1">
      <alignment horizontal="center"/>
    </xf>
    <xf numFmtId="0" fontId="10" fillId="0" borderId="40" xfId="228" applyNumberFormat="1" applyFont="1" applyBorder="1" applyAlignment="1">
      <alignment horizontal="center" vertical="center"/>
    </xf>
    <xf numFmtId="0" fontId="10" fillId="0" borderId="23" xfId="228" applyNumberFormat="1" applyFont="1" applyBorder="1" applyAlignment="1">
      <alignment horizontal="center" vertical="center"/>
    </xf>
    <xf numFmtId="0" fontId="10" fillId="0" borderId="41" xfId="228" applyNumberFormat="1" applyFont="1" applyBorder="1" applyAlignment="1">
      <alignment horizontal="center" vertical="center"/>
    </xf>
    <xf numFmtId="0" fontId="10" fillId="0" borderId="42" xfId="228" applyNumberFormat="1" applyFont="1" applyBorder="1" applyAlignment="1">
      <alignment horizontal="center" vertical="center"/>
    </xf>
    <xf numFmtId="0" fontId="10" fillId="0" borderId="43" xfId="228" applyNumberFormat="1" applyFont="1" applyBorder="1" applyAlignment="1">
      <alignment horizontal="center" vertical="center"/>
    </xf>
    <xf numFmtId="0" fontId="10" fillId="0" borderId="23" xfId="228" quotePrefix="1" applyNumberFormat="1" applyFont="1" applyBorder="1" applyAlignment="1">
      <alignment horizontal="center" vertical="center"/>
    </xf>
    <xf numFmtId="0" fontId="10" fillId="36" borderId="33" xfId="228" applyNumberFormat="1" applyFont="1" applyFill="1" applyBorder="1" applyAlignment="1">
      <alignment horizontal="center" vertical="center"/>
    </xf>
    <xf numFmtId="0" fontId="10" fillId="36" borderId="35" xfId="228" applyNumberFormat="1" applyFont="1" applyFill="1" applyBorder="1" applyAlignment="1">
      <alignment horizontal="center" vertical="center"/>
    </xf>
    <xf numFmtId="0" fontId="3" fillId="0" borderId="0" xfId="0" quotePrefix="1" applyFont="1"/>
    <xf numFmtId="0" fontId="3" fillId="0" borderId="0" xfId="0" applyFont="1"/>
    <xf numFmtId="0" fontId="21" fillId="0" borderId="0" xfId="0" applyFont="1" applyAlignment="1">
      <alignment horizontal="center"/>
    </xf>
    <xf numFmtId="10" fontId="10" fillId="0" borderId="23" xfId="206" applyNumberFormat="1" applyFont="1" applyFill="1" applyBorder="1" applyAlignment="1">
      <alignment horizontal="center"/>
    </xf>
    <xf numFmtId="0" fontId="10" fillId="0" borderId="51" xfId="228" applyNumberFormat="1" applyFont="1" applyBorder="1" applyAlignment="1">
      <alignment horizontal="center" vertical="center"/>
    </xf>
    <xf numFmtId="0" fontId="10" fillId="34" borderId="35" xfId="0" applyNumberFormat="1" applyFont="1" applyFill="1" applyBorder="1" applyAlignment="1">
      <alignment horizontal="center"/>
    </xf>
    <xf numFmtId="0" fontId="10" fillId="0" borderId="16" xfId="0" applyNumberFormat="1" applyFont="1" applyFill="1" applyBorder="1" applyAlignment="1">
      <alignment horizontal="center"/>
    </xf>
    <xf numFmtId="0" fontId="10" fillId="0" borderId="23" xfId="0" applyNumberFormat="1" applyFont="1" applyFill="1" applyBorder="1" applyAlignment="1">
      <alignment horizontal="center"/>
    </xf>
    <xf numFmtId="0" fontId="7" fillId="0" borderId="52" xfId="228" applyNumberFormat="1" applyFont="1" applyBorder="1" applyAlignment="1">
      <alignment horizontal="center"/>
    </xf>
    <xf numFmtId="164" fontId="5" fillId="0" borderId="53" xfId="195" applyNumberFormat="1" applyFont="1" applyFill="1" applyBorder="1" applyAlignment="1">
      <alignment horizontal="center"/>
    </xf>
    <xf numFmtId="3" fontId="5" fillId="35" borderId="53" xfId="228" applyNumberFormat="1" applyFont="1" applyFill="1" applyBorder="1" applyAlignment="1">
      <alignment horizontal="center"/>
    </xf>
    <xf numFmtId="3" fontId="7" fillId="36" borderId="52" xfId="228" applyNumberFormat="1" applyFont="1" applyFill="1" applyBorder="1" applyAlignment="1">
      <alignment horizontal="center"/>
    </xf>
    <xf numFmtId="38" fontId="5" fillId="0" borderId="54" xfId="228" applyNumberFormat="1" applyFont="1" applyBorder="1" applyAlignment="1">
      <alignment horizontal="center"/>
    </xf>
    <xf numFmtId="38" fontId="5" fillId="0" borderId="53" xfId="228" applyNumberFormat="1" applyFont="1" applyBorder="1" applyAlignment="1">
      <alignment horizontal="center"/>
    </xf>
    <xf numFmtId="38" fontId="5" fillId="0" borderId="55" xfId="228" applyNumberFormat="1" applyFont="1" applyBorder="1" applyAlignment="1">
      <alignment horizontal="center"/>
    </xf>
    <xf numFmtId="3" fontId="5" fillId="34" borderId="52" xfId="195" applyNumberFormat="1" applyFont="1" applyFill="1" applyBorder="1" applyAlignment="1">
      <alignment horizontal="center"/>
    </xf>
    <xf numFmtId="3" fontId="7" fillId="0" borderId="56" xfId="195" applyNumberFormat="1" applyFont="1" applyFill="1" applyBorder="1" applyAlignment="1">
      <alignment horizontal="center"/>
    </xf>
    <xf numFmtId="3" fontId="5" fillId="0" borderId="53" xfId="195" applyNumberFormat="1" applyFont="1" applyFill="1" applyBorder="1" applyAlignment="1">
      <alignment horizontal="center"/>
    </xf>
    <xf numFmtId="0" fontId="7" fillId="0" borderId="55" xfId="195" applyNumberFormat="1" applyFont="1" applyFill="1" applyBorder="1" applyAlignment="1">
      <alignment horizontal="center"/>
    </xf>
    <xf numFmtId="0" fontId="7" fillId="0" borderId="45" xfId="195" applyNumberFormat="1" applyFont="1" applyFill="1" applyBorder="1" applyAlignment="1">
      <alignment horizontal="center"/>
    </xf>
    <xf numFmtId="164" fontId="5" fillId="0" borderId="47" xfId="195" applyNumberFormat="1" applyFont="1" applyFill="1" applyBorder="1" applyAlignment="1">
      <alignment horizontal="center"/>
    </xf>
    <xf numFmtId="3" fontId="5" fillId="34" borderId="46" xfId="195" applyNumberFormat="1" applyFont="1" applyFill="1" applyBorder="1" applyAlignment="1">
      <alignment horizontal="center"/>
    </xf>
    <xf numFmtId="3" fontId="7" fillId="0" borderId="58" xfId="195" applyNumberFormat="1" applyFont="1" applyFill="1" applyBorder="1" applyAlignment="1">
      <alignment horizontal="center"/>
    </xf>
    <xf numFmtId="3" fontId="5" fillId="0" borderId="47" xfId="195" applyNumberFormat="1" applyFont="1" applyFill="1" applyBorder="1" applyAlignment="1">
      <alignment horizontal="center"/>
    </xf>
    <xf numFmtId="0" fontId="7" fillId="0" borderId="49" xfId="195" applyNumberFormat="1" applyFont="1" applyFill="1" applyBorder="1" applyAlignment="1">
      <alignment horizontal="center"/>
    </xf>
    <xf numFmtId="0" fontId="12" fillId="0" borderId="0" xfId="196" applyFont="1" applyAlignment="1"/>
    <xf numFmtId="3" fontId="15" fillId="32" borderId="57" xfId="196" applyNumberFormat="1" applyFont="1" applyFill="1" applyBorder="1" applyAlignment="1">
      <alignment horizontal="center"/>
    </xf>
    <xf numFmtId="0" fontId="16" fillId="0" borderId="0" xfId="196" applyFont="1" applyAlignment="1">
      <alignment horizontal="center"/>
    </xf>
    <xf numFmtId="0" fontId="7" fillId="36" borderId="29" xfId="228" applyNumberFormat="1" applyFont="1" applyFill="1" applyBorder="1" applyAlignment="1">
      <alignment horizontal="center"/>
    </xf>
    <xf numFmtId="0" fontId="7" fillId="36" borderId="3" xfId="228" applyNumberFormat="1" applyFont="1" applyFill="1" applyBorder="1" applyAlignment="1">
      <alignment horizontal="center"/>
    </xf>
    <xf numFmtId="0" fontId="7" fillId="36" borderId="28" xfId="228" applyNumberFormat="1" applyFont="1" applyFill="1" applyBorder="1" applyAlignment="1">
      <alignment horizontal="center"/>
    </xf>
    <xf numFmtId="0" fontId="7" fillId="37" borderId="37" xfId="228" applyNumberFormat="1" applyFont="1" applyFill="1" applyBorder="1" applyAlignment="1">
      <alignment horizontal="center"/>
    </xf>
    <xf numFmtId="0" fontId="7" fillId="37" borderId="38" xfId="228" applyNumberFormat="1" applyFont="1" applyFill="1" applyBorder="1" applyAlignment="1">
      <alignment horizontal="center"/>
    </xf>
    <xf numFmtId="0" fontId="7" fillId="37" borderId="39" xfId="228" applyNumberFormat="1" applyFont="1" applyFill="1" applyBorder="1" applyAlignment="1">
      <alignment horizontal="center"/>
    </xf>
    <xf numFmtId="0" fontId="12" fillId="35" borderId="0" xfId="196" applyFont="1" applyFill="1" applyAlignment="1"/>
    <xf numFmtId="0" fontId="15" fillId="35" borderId="0" xfId="196" applyFont="1" applyFill="1"/>
    <xf numFmtId="0" fontId="16" fillId="35" borderId="0" xfId="196" applyFont="1" applyFill="1" applyAlignment="1">
      <alignment horizontal="center"/>
    </xf>
    <xf numFmtId="166" fontId="15" fillId="35" borderId="0" xfId="196" applyNumberFormat="1" applyFont="1" applyFill="1" applyAlignment="1">
      <alignment horizontal="center"/>
    </xf>
    <xf numFmtId="166" fontId="15" fillId="35" borderId="22" xfId="196" applyNumberFormat="1" applyFont="1" applyFill="1" applyBorder="1" applyAlignment="1">
      <alignment horizontal="center"/>
    </xf>
    <xf numFmtId="0" fontId="15" fillId="35" borderId="23" xfId="196" applyFont="1" applyFill="1" applyBorder="1" applyAlignment="1">
      <alignment horizontal="center"/>
    </xf>
    <xf numFmtId="49" fontId="15" fillId="35" borderId="25" xfId="196" applyNumberFormat="1" applyFont="1" applyFill="1" applyBorder="1" applyAlignment="1">
      <alignment horizontal="center"/>
    </xf>
    <xf numFmtId="38" fontId="15" fillId="35" borderId="11" xfId="196" applyNumberFormat="1" applyFont="1" applyFill="1" applyBorder="1" applyAlignment="1">
      <alignment horizontal="center"/>
    </xf>
    <xf numFmtId="0" fontId="15" fillId="35" borderId="0" xfId="196" applyFont="1" applyFill="1" applyBorder="1"/>
    <xf numFmtId="0" fontId="15" fillId="35" borderId="3" xfId="196" applyFont="1" applyFill="1" applyBorder="1"/>
    <xf numFmtId="0" fontId="18" fillId="35" borderId="0" xfId="0" applyFont="1" applyFill="1" applyBorder="1" applyAlignment="1">
      <alignment horizontal="center"/>
    </xf>
    <xf numFmtId="0" fontId="5" fillId="35" borderId="0" xfId="195" applyNumberFormat="1" applyFont="1" applyFill="1" applyAlignment="1"/>
    <xf numFmtId="0" fontId="20" fillId="35" borderId="3" xfId="195" applyNumberFormat="1" applyFont="1" applyFill="1" applyBorder="1" applyAlignment="1">
      <alignment horizontal="left" vertical="center"/>
    </xf>
    <xf numFmtId="0" fontId="7" fillId="35" borderId="0" xfId="195" applyNumberFormat="1" applyFont="1" applyFill="1" applyAlignment="1"/>
    <xf numFmtId="0" fontId="11" fillId="35" borderId="33" xfId="0" applyNumberFormat="1" applyFont="1" applyFill="1" applyBorder="1" applyAlignment="1">
      <alignment horizontal="center"/>
    </xf>
    <xf numFmtId="0" fontId="11" fillId="35" borderId="35" xfId="0" applyNumberFormat="1" applyFont="1" applyFill="1" applyBorder="1" applyAlignment="1">
      <alignment horizontal="center"/>
    </xf>
    <xf numFmtId="0" fontId="10" fillId="35" borderId="35" xfId="0" applyNumberFormat="1" applyFont="1" applyFill="1" applyBorder="1" applyAlignment="1">
      <alignment horizontal="center"/>
    </xf>
    <xf numFmtId="3" fontId="7" fillId="35" borderId="52" xfId="195" applyNumberFormat="1" applyFont="1" applyFill="1" applyBorder="1" applyAlignment="1">
      <alignment horizontal="center"/>
    </xf>
    <xf numFmtId="3" fontId="7" fillId="35" borderId="30" xfId="195" applyNumberFormat="1" applyFont="1" applyFill="1" applyBorder="1" applyAlignment="1">
      <alignment horizontal="center"/>
    </xf>
    <xf numFmtId="3" fontId="7" fillId="35" borderId="57" xfId="195" applyNumberFormat="1" applyFont="1" applyFill="1" applyBorder="1" applyAlignment="1">
      <alignment horizontal="center"/>
    </xf>
    <xf numFmtId="1" fontId="7" fillId="0" borderId="0" xfId="473" applyNumberFormat="1" applyFont="1"/>
    <xf numFmtId="1" fontId="7" fillId="0" borderId="0" xfId="473" applyNumberFormat="1" applyFont="1"/>
    <xf numFmtId="1" fontId="7" fillId="0" borderId="0" xfId="473" applyNumberFormat="1" applyFont="1"/>
    <xf numFmtId="1" fontId="7" fillId="0" borderId="0" xfId="473" applyNumberFormat="1" applyFont="1"/>
  </cellXfs>
  <cellStyles count="479">
    <cellStyle name="_CC Oil" xfId="1" xr:uid="{00000000-0005-0000-0000-000000000000}"/>
    <cellStyle name="_CC Oil 2" xfId="2" xr:uid="{00000000-0005-0000-0000-000001000000}"/>
    <cellStyle name="_CC Oil 2 2" xfId="360" xr:uid="{E76EC5B4-10AE-4BF8-8DDD-F2F1341651AF}"/>
    <cellStyle name="_CC Oil 2 3" xfId="249" xr:uid="{A7D821F0-092D-4FD6-A509-0C3523F2791D}"/>
    <cellStyle name="_CC Oil 3" xfId="359" xr:uid="{514609F0-1425-4FF1-A25B-4AD355B5AFBC}"/>
    <cellStyle name="_CC Oil 4" xfId="248" xr:uid="{9845C0D6-CFA9-4994-AC6D-0F27F25B1892}"/>
    <cellStyle name="_CC Oil_130204 2013 - 2061 LONG-TERM FORECAST FPL METHODOLOGY Clean Copy" xfId="3" xr:uid="{00000000-0005-0000-0000-000002000000}"/>
    <cellStyle name="_CC Oil_130204 2013 - 2061 LONG-TERM FORECAST FPL METHODOLOGY Clean Copy 2" xfId="361" xr:uid="{1EC14CAD-82D4-4FBA-8E92-C033605B9F28}"/>
    <cellStyle name="_CC Oil_130204 2013 - 2061 LONG-TERM FORECAST FPL METHODOLOGY Clean Copy 3" xfId="250" xr:uid="{BADB1DFC-5DEF-4099-A3A5-5DA41EA84CD2}"/>
    <cellStyle name="_CC Oil_MTHLY_MWH_to EOC_AS AVAILABLE" xfId="4" xr:uid="{00000000-0005-0000-0000-000003000000}"/>
    <cellStyle name="_CC Oil_MTHLY_MWH_to EOC_AS AVAILABLE 2" xfId="362" xr:uid="{F786F3B6-8D55-49D2-A7A5-E75BE0B8AF11}"/>
    <cellStyle name="_CC Oil_MTHLY_MWH_to EOC_AS AVAILABLE 3" xfId="251" xr:uid="{B136E547-09D0-4941-B1D4-B0BBD2DF3F38}"/>
    <cellStyle name="_DSO Oil" xfId="5" xr:uid="{00000000-0005-0000-0000-000004000000}"/>
    <cellStyle name="_DSO Oil 2" xfId="6" xr:uid="{00000000-0005-0000-0000-000005000000}"/>
    <cellStyle name="_DSO Oil 2 2" xfId="364" xr:uid="{3A808872-045D-45DB-95F5-2438984554B9}"/>
    <cellStyle name="_DSO Oil 2 3" xfId="253" xr:uid="{D9882A80-3D49-41C7-9914-319892498D42}"/>
    <cellStyle name="_DSO Oil 3" xfId="363" xr:uid="{E5F1E98B-F579-40AE-B4CB-61D32728700C}"/>
    <cellStyle name="_DSO Oil 4" xfId="252" xr:uid="{035D60E4-6C19-4DBE-AE5B-F91298F412B9}"/>
    <cellStyle name="_DSO Oil_130204 2013 - 2061 LONG-TERM FORECAST FPL METHODOLOGY Clean Copy" xfId="7" xr:uid="{00000000-0005-0000-0000-000006000000}"/>
    <cellStyle name="_DSO Oil_130204 2013 - 2061 LONG-TERM FORECAST FPL METHODOLOGY Clean Copy 2" xfId="365" xr:uid="{61467A48-844D-498C-B993-B65824053A2C}"/>
    <cellStyle name="_DSO Oil_130204 2013 - 2061 LONG-TERM FORECAST FPL METHODOLOGY Clean Copy 3" xfId="254" xr:uid="{D9792FF9-636C-4B9C-B488-9C373026FFDA}"/>
    <cellStyle name="_DSO Oil_MTHLY_MWH_to EOC_AS AVAILABLE" xfId="8" xr:uid="{00000000-0005-0000-0000-000007000000}"/>
    <cellStyle name="_DSO Oil_MTHLY_MWH_to EOC_AS AVAILABLE 2" xfId="366" xr:uid="{48E584DF-7546-468E-8020-C3C638DCFEAC}"/>
    <cellStyle name="_DSO Oil_MTHLY_MWH_to EOC_AS AVAILABLE 3" xfId="255" xr:uid="{1B910893-AC1A-4DFD-8510-C8CD3B2F1723}"/>
    <cellStyle name="_FLCC Oil" xfId="9" xr:uid="{00000000-0005-0000-0000-000008000000}"/>
    <cellStyle name="_FLCC Oil 2" xfId="10" xr:uid="{00000000-0005-0000-0000-000009000000}"/>
    <cellStyle name="_FLCC Oil 2 2" xfId="368" xr:uid="{294C3231-E03B-4117-BD02-4EF96AFFD837}"/>
    <cellStyle name="_FLCC Oil 2 3" xfId="257" xr:uid="{7E787D46-CB8B-49BF-BAC9-AA36CF71DD4B}"/>
    <cellStyle name="_FLCC Oil 3" xfId="367" xr:uid="{F8DFC931-33C7-4A33-A23C-C4AAC2A6BF68}"/>
    <cellStyle name="_FLCC Oil 4" xfId="256" xr:uid="{6B2FBC1B-8956-4126-B3F4-7758AB2B6467}"/>
    <cellStyle name="_FLCC Oil_130204 2013 - 2061 LONG-TERM FORECAST FPL METHODOLOGY Clean Copy" xfId="11" xr:uid="{00000000-0005-0000-0000-00000A000000}"/>
    <cellStyle name="_FLCC Oil_130204 2013 - 2061 LONG-TERM FORECAST FPL METHODOLOGY Clean Copy 2" xfId="369" xr:uid="{73449391-740A-4F7A-A9B4-163C474DEFA8}"/>
    <cellStyle name="_FLCC Oil_130204 2013 - 2061 LONG-TERM FORECAST FPL METHODOLOGY Clean Copy 3" xfId="258" xr:uid="{9E504789-1C80-47BD-8241-553B3FB37AFE}"/>
    <cellStyle name="_FLCC Oil_MTHLY_MWH_to EOC_AS AVAILABLE" xfId="12" xr:uid="{00000000-0005-0000-0000-00000B000000}"/>
    <cellStyle name="_FLCC Oil_MTHLY_MWH_to EOC_AS AVAILABLE 2" xfId="370" xr:uid="{4070792D-8A10-4D2C-80EB-2D69642E8141}"/>
    <cellStyle name="_FLCC Oil_MTHLY_MWH_to EOC_AS AVAILABLE 3" xfId="259" xr:uid="{F5BA4940-381D-445A-9174-A45088B377DF}"/>
    <cellStyle name="_FLPEGT Oil" xfId="13" xr:uid="{00000000-0005-0000-0000-00000C000000}"/>
    <cellStyle name="_FLPEGT Oil 2" xfId="14" xr:uid="{00000000-0005-0000-0000-00000D000000}"/>
    <cellStyle name="_FLPEGT Oil 2 2" xfId="372" xr:uid="{98513666-13C4-4B5F-A9F7-1A7775448C98}"/>
    <cellStyle name="_FLPEGT Oil 2 3" xfId="261" xr:uid="{1D30A20D-7303-498D-93B3-134DD653C1F2}"/>
    <cellStyle name="_FLPEGT Oil 3" xfId="371" xr:uid="{D9675BFC-925F-4D27-902F-90C7D22C34E9}"/>
    <cellStyle name="_FLPEGT Oil 4" xfId="260" xr:uid="{3EAB7EFD-64E4-47BD-B8D8-530CFEC15D35}"/>
    <cellStyle name="_FLPEGT Oil_130204 2013 - 2061 LONG-TERM FORECAST FPL METHODOLOGY Clean Copy" xfId="15" xr:uid="{00000000-0005-0000-0000-00000E000000}"/>
    <cellStyle name="_FLPEGT Oil_130204 2013 - 2061 LONG-TERM FORECAST FPL METHODOLOGY Clean Copy 2" xfId="373" xr:uid="{31A8C0F4-26EF-4CC2-AFF2-4E0885FFA6F5}"/>
    <cellStyle name="_FLPEGT Oil_130204 2013 - 2061 LONG-TERM FORECAST FPL METHODOLOGY Clean Copy 3" xfId="262" xr:uid="{6906EF30-1F5D-4365-BA9A-8B2A2ED1F806}"/>
    <cellStyle name="_FLPEGT Oil_MTHLY_MWH_to EOC_AS AVAILABLE" xfId="16" xr:uid="{00000000-0005-0000-0000-00000F000000}"/>
    <cellStyle name="_FLPEGT Oil_MTHLY_MWH_to EOC_AS AVAILABLE 2" xfId="374" xr:uid="{DD9B5EA1-A51D-41AD-A775-62A983A3E3E8}"/>
    <cellStyle name="_FLPEGT Oil_MTHLY_MWH_to EOC_AS AVAILABLE 3" xfId="263" xr:uid="{4A04090F-E417-4AFE-BD84-E1907F3CC31E}"/>
    <cellStyle name="_FMCT Oil" xfId="17" xr:uid="{00000000-0005-0000-0000-000010000000}"/>
    <cellStyle name="_FMCT Oil 2" xfId="18" xr:uid="{00000000-0005-0000-0000-000011000000}"/>
    <cellStyle name="_FMCT Oil 2 2" xfId="376" xr:uid="{960BC323-A518-49C1-A846-8540968DA3A6}"/>
    <cellStyle name="_FMCT Oil 2 3" xfId="265" xr:uid="{9160C46F-3CDC-44E8-8D99-F4CE88C22B08}"/>
    <cellStyle name="_FMCT Oil 3" xfId="375" xr:uid="{2D49AF95-8D61-4B82-8097-95DC37780DF8}"/>
    <cellStyle name="_FMCT Oil 4" xfId="264" xr:uid="{22BDB6B0-BA84-49C7-A161-9D03D06BFE86}"/>
    <cellStyle name="_FMCT Oil_130204 2013 - 2061 LONG-TERM FORECAST FPL METHODOLOGY Clean Copy" xfId="19" xr:uid="{00000000-0005-0000-0000-000012000000}"/>
    <cellStyle name="_FMCT Oil_130204 2013 - 2061 LONG-TERM FORECAST FPL METHODOLOGY Clean Copy 2" xfId="377" xr:uid="{82251227-0EC4-4132-B4E5-0C0AE7D2B4B4}"/>
    <cellStyle name="_FMCT Oil_130204 2013 - 2061 LONG-TERM FORECAST FPL METHODOLOGY Clean Copy 3" xfId="266" xr:uid="{39524EC1-070A-4039-B160-0F594E259A09}"/>
    <cellStyle name="_FMCT Oil_MTHLY_MWH_to EOC_AS AVAILABLE" xfId="20" xr:uid="{00000000-0005-0000-0000-000013000000}"/>
    <cellStyle name="_FMCT Oil_MTHLY_MWH_to EOC_AS AVAILABLE 2" xfId="378" xr:uid="{3A2E4B95-7D0D-46C8-89C6-038825FDA6EF}"/>
    <cellStyle name="_FMCT Oil_MTHLY_MWH_to EOC_AS AVAILABLE 3" xfId="267" xr:uid="{592ABA30-DA34-441D-B6DC-94052D693115}"/>
    <cellStyle name="_GTDW_DataTemplate" xfId="21" xr:uid="{00000000-0005-0000-0000-000014000000}"/>
    <cellStyle name="_GTDW_DataTemplate 2" xfId="22" xr:uid="{00000000-0005-0000-0000-000015000000}"/>
    <cellStyle name="_GTDW_DataTemplate 2 2" xfId="380" xr:uid="{7BADBA86-1A93-4146-BF95-8825D6019C35}"/>
    <cellStyle name="_GTDW_DataTemplate 2 3" xfId="269" xr:uid="{1C24E8A2-35F4-4D80-B5D8-80A6501D22AA}"/>
    <cellStyle name="_GTDW_DataTemplate 3" xfId="379" xr:uid="{72534EA2-6CB1-4473-BFB4-F5917E12D26B}"/>
    <cellStyle name="_GTDW_DataTemplate 4" xfId="268" xr:uid="{74733819-93D3-49FF-B16C-B6E7644C0B3C}"/>
    <cellStyle name="_GTDW_DataTemplate_130204 2013 - 2061 LONG-TERM FORECAST FPL METHODOLOGY Clean Copy" xfId="23" xr:uid="{00000000-0005-0000-0000-000016000000}"/>
    <cellStyle name="_GTDW_DataTemplate_130204 2013 - 2061 LONG-TERM FORECAST FPL METHODOLOGY Clean Copy 2" xfId="381" xr:uid="{02C500FF-C3E0-48F7-9568-64644A103603}"/>
    <cellStyle name="_GTDW_DataTemplate_130204 2013 - 2061 LONG-TERM FORECAST FPL METHODOLOGY Clean Copy 3" xfId="270" xr:uid="{103C5991-5F39-4178-AAC5-12BB839331AF}"/>
    <cellStyle name="_GTDW_DataTemplate_MTHLY_MWH_to EOC_AS AVAILABLE" xfId="24" xr:uid="{00000000-0005-0000-0000-000017000000}"/>
    <cellStyle name="_GTDW_DataTemplate_MTHLY_MWH_to EOC_AS AVAILABLE 2" xfId="382" xr:uid="{B55F0D02-F146-4241-BB75-B26BECAC8477}"/>
    <cellStyle name="_GTDW_DataTemplate_MTHLY_MWH_to EOC_AS AVAILABLE 3" xfId="271" xr:uid="{495CE645-905A-473A-9C09-E50849D672A0}"/>
    <cellStyle name="_Gulfstream Gas" xfId="25" xr:uid="{00000000-0005-0000-0000-000018000000}"/>
    <cellStyle name="_Gulfstream Gas 2" xfId="26" xr:uid="{00000000-0005-0000-0000-000019000000}"/>
    <cellStyle name="_Gulfstream Gas 2 2" xfId="384" xr:uid="{7D03B20E-7390-4A24-A138-A17BBB1B465D}"/>
    <cellStyle name="_Gulfstream Gas 2 3" xfId="273" xr:uid="{04264A1B-135C-4BAC-8362-BBC33A96802B}"/>
    <cellStyle name="_Gulfstream Gas 3" xfId="383" xr:uid="{09D16406-83E1-4173-956F-5570B4B92A36}"/>
    <cellStyle name="_Gulfstream Gas 4" xfId="272" xr:uid="{C78ED55E-C37C-4EDC-8FC6-99CCCDAE64F5}"/>
    <cellStyle name="_Gulfstream Gas_130204 2013 - 2061 LONG-TERM FORECAST FPL METHODOLOGY Clean Copy" xfId="27" xr:uid="{00000000-0005-0000-0000-00001A000000}"/>
    <cellStyle name="_Gulfstream Gas_130204 2013 - 2061 LONG-TERM FORECAST FPL METHODOLOGY Clean Copy 2" xfId="385" xr:uid="{749561BA-33B9-45E9-9E48-9C161E61CA77}"/>
    <cellStyle name="_Gulfstream Gas_130204 2013 - 2061 LONG-TERM FORECAST FPL METHODOLOGY Clean Copy 3" xfId="274" xr:uid="{9054DF43-CEDF-4FF2-AD31-0957E6B1E952}"/>
    <cellStyle name="_Gulfstream Gas_MTHLY_MWH_to EOC_AS AVAILABLE" xfId="28" xr:uid="{00000000-0005-0000-0000-00001B000000}"/>
    <cellStyle name="_Gulfstream Gas_MTHLY_MWH_to EOC_AS AVAILABLE 2" xfId="386" xr:uid="{B4F55EEA-3CE3-423D-B28E-17C94A1255D6}"/>
    <cellStyle name="_Gulfstream Gas_MTHLY_MWH_to EOC_AS AVAILABLE 3" xfId="275" xr:uid="{DB578324-3FFE-434B-BCC8-D21573AE3373}"/>
    <cellStyle name="_MR .7 Oil" xfId="29" xr:uid="{00000000-0005-0000-0000-00001C000000}"/>
    <cellStyle name="_MR .7 Oil 2" xfId="30" xr:uid="{00000000-0005-0000-0000-00001D000000}"/>
    <cellStyle name="_MR .7 Oil 2 2" xfId="388" xr:uid="{B7EA2C28-490F-431B-8E08-CD04F5E7A1E0}"/>
    <cellStyle name="_MR .7 Oil 2 3" xfId="277" xr:uid="{C9253702-086F-4910-A392-6489761B725E}"/>
    <cellStyle name="_MR .7 Oil 3" xfId="387" xr:uid="{35894AA6-6625-4D7E-9C73-54B55E9A4B69}"/>
    <cellStyle name="_MR .7 Oil 4" xfId="276" xr:uid="{0B3C1163-2B1C-488B-9E4D-8713A6E0567E}"/>
    <cellStyle name="_MR .7 Oil_130204 2013 - 2061 LONG-TERM FORECAST FPL METHODOLOGY Clean Copy" xfId="31" xr:uid="{00000000-0005-0000-0000-00001E000000}"/>
    <cellStyle name="_MR .7 Oil_130204 2013 - 2061 LONG-TERM FORECAST FPL METHODOLOGY Clean Copy 2" xfId="389" xr:uid="{B0EA8735-5E22-49E2-AE55-F309A71E5648}"/>
    <cellStyle name="_MR .7 Oil_130204 2013 - 2061 LONG-TERM FORECAST FPL METHODOLOGY Clean Copy 3" xfId="278" xr:uid="{3B4B5B04-A7CA-4CA2-9E38-C5539DA110FA}"/>
    <cellStyle name="_MR .7 Oil_MTHLY_MWH_to EOC_AS AVAILABLE" xfId="32" xr:uid="{00000000-0005-0000-0000-00001F000000}"/>
    <cellStyle name="_MR .7 Oil_MTHLY_MWH_to EOC_AS AVAILABLE 2" xfId="390" xr:uid="{BE88E07C-A4A4-44D0-85AF-210A8EC24332}"/>
    <cellStyle name="_MR .7 Oil_MTHLY_MWH_to EOC_AS AVAILABLE 3" xfId="279" xr:uid="{867C74A5-E9E7-4738-B66C-20535B191B3F}"/>
    <cellStyle name="_MR 1 Oil" xfId="33" xr:uid="{00000000-0005-0000-0000-000020000000}"/>
    <cellStyle name="_MR 1 Oil 2" xfId="34" xr:uid="{00000000-0005-0000-0000-000021000000}"/>
    <cellStyle name="_MR 1 Oil 2 2" xfId="392" xr:uid="{ACF13E9A-4C90-4FF5-83A7-150C5A6D8EB2}"/>
    <cellStyle name="_MR 1 Oil 2 3" xfId="281" xr:uid="{89EC5A1D-8437-4DDC-A73C-083680D16586}"/>
    <cellStyle name="_MR 1 Oil 3" xfId="391" xr:uid="{3AEFCA61-F718-4E29-B2DE-A92047973EC3}"/>
    <cellStyle name="_MR 1 Oil 4" xfId="280" xr:uid="{26AE6A57-04F0-4AF0-BA29-52322B4F7E6B}"/>
    <cellStyle name="_MR 1 Oil_130204 2013 - 2061 LONG-TERM FORECAST FPL METHODOLOGY Clean Copy" xfId="35" xr:uid="{00000000-0005-0000-0000-000022000000}"/>
    <cellStyle name="_MR 1 Oil_130204 2013 - 2061 LONG-TERM FORECAST FPL METHODOLOGY Clean Copy 2" xfId="393" xr:uid="{77DEDE5B-3780-4EDD-BA46-A73634F6742A}"/>
    <cellStyle name="_MR 1 Oil_130204 2013 - 2061 LONG-TERM FORECAST FPL METHODOLOGY Clean Copy 3" xfId="282" xr:uid="{52693678-8A60-465B-9853-02E7FC80A100}"/>
    <cellStyle name="_MR 1 Oil_MTHLY_MWH_to EOC_AS AVAILABLE" xfId="36" xr:uid="{00000000-0005-0000-0000-000023000000}"/>
    <cellStyle name="_MR 1 Oil_MTHLY_MWH_to EOC_AS AVAILABLE 2" xfId="394" xr:uid="{BF05694C-2D1B-4A22-B8F5-D1F84678706B}"/>
    <cellStyle name="_MR 1 Oil_MTHLY_MWH_to EOC_AS AVAILABLE 3" xfId="283" xr:uid="{36FD349B-AC9E-4D53-840A-01D12F9AA8FF}"/>
    <cellStyle name="_MRCT Oil" xfId="37" xr:uid="{00000000-0005-0000-0000-000024000000}"/>
    <cellStyle name="_MRCT Oil 2" xfId="38" xr:uid="{00000000-0005-0000-0000-000025000000}"/>
    <cellStyle name="_MRCT Oil 2 2" xfId="396" xr:uid="{53A76410-79B3-4978-B9F1-8D568A28A9BE}"/>
    <cellStyle name="_MRCT Oil 2 3" xfId="285" xr:uid="{3485E078-B662-4A5E-8B18-3E5B09601D6D}"/>
    <cellStyle name="_MRCT Oil 3" xfId="395" xr:uid="{4CD4D03D-8A51-4B70-BD65-AD4E7D1E52FF}"/>
    <cellStyle name="_MRCT Oil 4" xfId="284" xr:uid="{955A310E-08BD-4739-90EC-94F1D68E8465}"/>
    <cellStyle name="_MRCT Oil_130204 2013 - 2061 LONG-TERM FORECAST FPL METHODOLOGY Clean Copy" xfId="39" xr:uid="{00000000-0005-0000-0000-000026000000}"/>
    <cellStyle name="_MRCT Oil_130204 2013 - 2061 LONG-TERM FORECAST FPL METHODOLOGY Clean Copy 2" xfId="397" xr:uid="{4E7944F7-DEDF-4816-AE82-D7EAF3F1A47B}"/>
    <cellStyle name="_MRCT Oil_130204 2013 - 2061 LONG-TERM FORECAST FPL METHODOLOGY Clean Copy 3" xfId="286" xr:uid="{4B645DD3-595F-4D4E-8BB7-DA1E3A0AD3F8}"/>
    <cellStyle name="_MRCT Oil_MTHLY_MWH_to EOC_AS AVAILABLE" xfId="40" xr:uid="{00000000-0005-0000-0000-000027000000}"/>
    <cellStyle name="_MRCT Oil_MTHLY_MWH_to EOC_AS AVAILABLE 2" xfId="398" xr:uid="{E9F8E184-4A70-43BC-AB93-DB24264F9B85}"/>
    <cellStyle name="_MRCT Oil_MTHLY_MWH_to EOC_AS AVAILABLE 3" xfId="287" xr:uid="{AE490B1F-912C-44A1-B9D0-62C995C7E2FE}"/>
    <cellStyle name="_MT Gulfstream Gas" xfId="41" xr:uid="{00000000-0005-0000-0000-000028000000}"/>
    <cellStyle name="_MT Gulfstream Gas 2" xfId="42" xr:uid="{00000000-0005-0000-0000-000029000000}"/>
    <cellStyle name="_MT Gulfstream Gas 2 2" xfId="400" xr:uid="{730E6F7B-2649-4F23-A153-307609D7E9CE}"/>
    <cellStyle name="_MT Gulfstream Gas 2 3" xfId="289" xr:uid="{99363B83-F14D-4016-8AE3-4C89B07E5151}"/>
    <cellStyle name="_MT Gulfstream Gas 3" xfId="399" xr:uid="{2AAEF3E9-EFC2-4C54-9CC1-0A179DB11230}"/>
    <cellStyle name="_MT Gulfstream Gas 4" xfId="288" xr:uid="{F38D431A-28CB-4EF4-B864-ABB6AA03ACD6}"/>
    <cellStyle name="_MT Gulfstream Gas_130204 2013 - 2061 LONG-TERM FORECAST FPL METHODOLOGY Clean Copy" xfId="43" xr:uid="{00000000-0005-0000-0000-00002A000000}"/>
    <cellStyle name="_MT Gulfstream Gas_130204 2013 - 2061 LONG-TERM FORECAST FPL METHODOLOGY Clean Copy 2" xfId="401" xr:uid="{548AFFA1-BF7B-4221-8012-0EFBC382E616}"/>
    <cellStyle name="_MT Gulfstream Gas_130204 2013 - 2061 LONG-TERM FORECAST FPL METHODOLOGY Clean Copy 3" xfId="290" xr:uid="{B98B774D-F795-402B-9C4D-F5ABF9EB164F}"/>
    <cellStyle name="_MT Gulfstream Gas_MTHLY_MWH_to EOC_AS AVAILABLE" xfId="44" xr:uid="{00000000-0005-0000-0000-00002B000000}"/>
    <cellStyle name="_MT Gulfstream Gas_MTHLY_MWH_to EOC_AS AVAILABLE 2" xfId="402" xr:uid="{57D7E2CF-9BCA-4952-A16F-5E1E1B5D05B6}"/>
    <cellStyle name="_MT Gulfstream Gas_MTHLY_MWH_to EOC_AS AVAILABLE 3" xfId="291" xr:uid="{5E571682-42FF-4AE7-B043-4E8156E1B631}"/>
    <cellStyle name="_MT Oil" xfId="45" xr:uid="{00000000-0005-0000-0000-00002C000000}"/>
    <cellStyle name="_MT Oil 2" xfId="46" xr:uid="{00000000-0005-0000-0000-00002D000000}"/>
    <cellStyle name="_MT Oil 2 2" xfId="404" xr:uid="{E92A17E8-D762-4586-A17D-F6D95D5407E9}"/>
    <cellStyle name="_MT Oil 2 3" xfId="293" xr:uid="{7C1C04FA-0891-404B-B168-3254F06D3C9B}"/>
    <cellStyle name="_MT Oil 3" xfId="403" xr:uid="{9949ADE0-297A-4C26-A9DA-CBE46636B07C}"/>
    <cellStyle name="_MT Oil 4" xfId="292" xr:uid="{99BEEA4F-4C25-48A8-AE12-1B5D0C54C83F}"/>
    <cellStyle name="_MT Oil_130204 2013 - 2061 LONG-TERM FORECAST FPL METHODOLOGY Clean Copy" xfId="47" xr:uid="{00000000-0005-0000-0000-00002E000000}"/>
    <cellStyle name="_MT Oil_130204 2013 - 2061 LONG-TERM FORECAST FPL METHODOLOGY Clean Copy 2" xfId="405" xr:uid="{A574835C-4182-4B70-BBAE-4C37BC036E75}"/>
    <cellStyle name="_MT Oil_130204 2013 - 2061 LONG-TERM FORECAST FPL METHODOLOGY Clean Copy 3" xfId="294" xr:uid="{4E41D487-8A47-4470-A2A2-912F24074B24}"/>
    <cellStyle name="_MT Oil_MTHLY_MWH_to EOC_AS AVAILABLE" xfId="48" xr:uid="{00000000-0005-0000-0000-00002F000000}"/>
    <cellStyle name="_MT Oil_MTHLY_MWH_to EOC_AS AVAILABLE 2" xfId="406" xr:uid="{2EE43F97-D521-4B93-B208-D1A4555A724F}"/>
    <cellStyle name="_MT Oil_MTHLY_MWH_to EOC_AS AVAILABLE 3" xfId="295" xr:uid="{EA13A0CF-B1D1-4E79-A739-329FAAADA5A2}"/>
    <cellStyle name="_OLCT Oil" xfId="49" xr:uid="{00000000-0005-0000-0000-000030000000}"/>
    <cellStyle name="_OLCT Oil 2" xfId="50" xr:uid="{00000000-0005-0000-0000-000031000000}"/>
    <cellStyle name="_OLCT Oil 2 2" xfId="408" xr:uid="{E549F0AB-50FB-4B1B-B5F2-7ABC8A05BDD1}"/>
    <cellStyle name="_OLCT Oil 2 3" xfId="297" xr:uid="{0C0599D3-3FFB-4D0E-9641-3C74F393EE0E}"/>
    <cellStyle name="_OLCT Oil 3" xfId="407" xr:uid="{4C497639-841F-4507-8702-44CE1F18A77F}"/>
    <cellStyle name="_OLCT Oil 4" xfId="296" xr:uid="{13A2D729-3103-4601-B061-5453BA4C0C14}"/>
    <cellStyle name="_OLCT Oil_130204 2013 - 2061 LONG-TERM FORECAST FPL METHODOLOGY Clean Copy" xfId="51" xr:uid="{00000000-0005-0000-0000-000032000000}"/>
    <cellStyle name="_OLCT Oil_130204 2013 - 2061 LONG-TERM FORECAST FPL METHODOLOGY Clean Copy 2" xfId="409" xr:uid="{6BC043E9-64C2-426D-9B18-6C0D92C17ABE}"/>
    <cellStyle name="_OLCT Oil_130204 2013 - 2061 LONG-TERM FORECAST FPL METHODOLOGY Clean Copy 3" xfId="298" xr:uid="{3092FE46-46FB-43FE-9295-72283FE133E7}"/>
    <cellStyle name="_OLCT Oil_MTHLY_MWH_to EOC_AS AVAILABLE" xfId="52" xr:uid="{00000000-0005-0000-0000-000033000000}"/>
    <cellStyle name="_OLCT Oil_MTHLY_MWH_to EOC_AS AVAILABLE 2" xfId="410" xr:uid="{E39478F3-2942-4319-A785-1A7447D0B4F5}"/>
    <cellStyle name="_OLCT Oil_MTHLY_MWH_to EOC_AS AVAILABLE 3" xfId="299" xr:uid="{5F5F1037-5A1D-4F44-ABA9-6DD6E9B0FD6E}"/>
    <cellStyle name="_PE Oil" xfId="53" xr:uid="{00000000-0005-0000-0000-000034000000}"/>
    <cellStyle name="_PE Oil 2" xfId="54" xr:uid="{00000000-0005-0000-0000-000035000000}"/>
    <cellStyle name="_PE Oil 2 2" xfId="412" xr:uid="{2461C864-6491-4139-A49A-5262FAC5961C}"/>
    <cellStyle name="_PE Oil 2 3" xfId="301" xr:uid="{27C779CC-D6C9-4416-8E56-DCCB5248A57A}"/>
    <cellStyle name="_PE Oil 3" xfId="411" xr:uid="{9EB6A8C1-3212-4B7E-9945-D665E30FCAA2}"/>
    <cellStyle name="_PE Oil 4" xfId="300" xr:uid="{F4846BF4-1FBE-4FC6-8E68-4B7B6118AFE2}"/>
    <cellStyle name="_PE Oil_130204 2013 - 2061 LONG-TERM FORECAST FPL METHODOLOGY Clean Copy" xfId="55" xr:uid="{00000000-0005-0000-0000-000036000000}"/>
    <cellStyle name="_PE Oil_130204 2013 - 2061 LONG-TERM FORECAST FPL METHODOLOGY Clean Copy 2" xfId="413" xr:uid="{016BC91F-FEC4-43D2-AECD-B00E58AC4511}"/>
    <cellStyle name="_PE Oil_130204 2013 - 2061 LONG-TERM FORECAST FPL METHODOLOGY Clean Copy 3" xfId="302" xr:uid="{03E0A3D1-6ED1-4FC8-A025-AFB1171CE8A2}"/>
    <cellStyle name="_PE Oil_MTHLY_MWH_to EOC_AS AVAILABLE" xfId="56" xr:uid="{00000000-0005-0000-0000-000037000000}"/>
    <cellStyle name="_PE Oil_MTHLY_MWH_to EOC_AS AVAILABLE 2" xfId="414" xr:uid="{047A195E-4E1A-4ACF-AF8C-2AE7524AA04F}"/>
    <cellStyle name="_PE Oil_MTHLY_MWH_to EOC_AS AVAILABLE 3" xfId="303" xr:uid="{910AEC17-B90B-4FFE-81AB-81B13A555D82}"/>
    <cellStyle name="_PN Oil" xfId="57" xr:uid="{00000000-0005-0000-0000-000038000000}"/>
    <cellStyle name="_PN Oil 2" xfId="58" xr:uid="{00000000-0005-0000-0000-000039000000}"/>
    <cellStyle name="_PN Oil 2 2" xfId="416" xr:uid="{C65C1F2E-7F49-44EE-8CCA-91979E1313E7}"/>
    <cellStyle name="_PN Oil 2 3" xfId="305" xr:uid="{B26865DE-EF9F-4846-ABD5-5B85A5B1206E}"/>
    <cellStyle name="_PN Oil 3" xfId="415" xr:uid="{D799E23B-0315-4B6B-A7EA-568B8662D4B1}"/>
    <cellStyle name="_PN Oil 4" xfId="304" xr:uid="{EE1029EB-20A8-47AA-8915-2CFD58E6C058}"/>
    <cellStyle name="_PN Oil_130204 2013 - 2061 LONG-TERM FORECAST FPL METHODOLOGY Clean Copy" xfId="59" xr:uid="{00000000-0005-0000-0000-00003A000000}"/>
    <cellStyle name="_PN Oil_130204 2013 - 2061 LONG-TERM FORECAST FPL METHODOLOGY Clean Copy 2" xfId="417" xr:uid="{0267F5F3-AE30-4E61-8640-26CC0CE74C29}"/>
    <cellStyle name="_PN Oil_130204 2013 - 2061 LONG-TERM FORECAST FPL METHODOLOGY Clean Copy 3" xfId="306" xr:uid="{3DB99108-E70E-4C46-92C7-837028D71E01}"/>
    <cellStyle name="_PN Oil_MTHLY_MWH_to EOC_AS AVAILABLE" xfId="60" xr:uid="{00000000-0005-0000-0000-00003B000000}"/>
    <cellStyle name="_PN Oil_MTHLY_MWH_to EOC_AS AVAILABLE 2" xfId="418" xr:uid="{FA98197D-3FEC-46B4-A82C-9282B795DD86}"/>
    <cellStyle name="_PN Oil_MTHLY_MWH_to EOC_AS AVAILABLE 3" xfId="307" xr:uid="{7D2F6149-8BE0-4AAE-A25E-39611670DBBD}"/>
    <cellStyle name="_RV Oil" xfId="61" xr:uid="{00000000-0005-0000-0000-00003C000000}"/>
    <cellStyle name="_RV Oil 2" xfId="62" xr:uid="{00000000-0005-0000-0000-00003D000000}"/>
    <cellStyle name="_RV Oil 2 2" xfId="420" xr:uid="{F53E125C-4344-400F-AF40-0CFAAAB5C47B}"/>
    <cellStyle name="_RV Oil 2 3" xfId="309" xr:uid="{603DDF71-132C-4549-90CC-5E2F49D8B6C0}"/>
    <cellStyle name="_RV Oil 3" xfId="419" xr:uid="{442B7F0A-7465-49B4-8DF0-027EC1F1578F}"/>
    <cellStyle name="_RV Oil 4" xfId="308" xr:uid="{E78D93BB-4E66-499C-B76B-8289F1C3FD3F}"/>
    <cellStyle name="_RV Oil_130204 2013 - 2061 LONG-TERM FORECAST FPL METHODOLOGY Clean Copy" xfId="63" xr:uid="{00000000-0005-0000-0000-00003E000000}"/>
    <cellStyle name="_RV Oil_130204 2013 - 2061 LONG-TERM FORECAST FPL METHODOLOGY Clean Copy 2" xfId="421" xr:uid="{0126F766-A579-4D99-A432-DD0813CF6964}"/>
    <cellStyle name="_RV Oil_130204 2013 - 2061 LONG-TERM FORECAST FPL METHODOLOGY Clean Copy 3" xfId="310" xr:uid="{4DE62248-171A-4719-9EE6-237200178A01}"/>
    <cellStyle name="_RV Oil_MTHLY_MWH_to EOC_AS AVAILABLE" xfId="64" xr:uid="{00000000-0005-0000-0000-00003F000000}"/>
    <cellStyle name="_RV Oil_MTHLY_MWH_to EOC_AS AVAILABLE 2" xfId="422" xr:uid="{9226AFEE-2902-4BFB-AC6A-65929B9CDCDE}"/>
    <cellStyle name="_RV Oil_MTHLY_MWH_to EOC_AS AVAILABLE 3" xfId="311" xr:uid="{DCB072F6-2458-45D2-ACF5-9AA2BA8B8C0C}"/>
    <cellStyle name="_SHCT Oil" xfId="65" xr:uid="{00000000-0005-0000-0000-000040000000}"/>
    <cellStyle name="_SHCT Oil 2" xfId="66" xr:uid="{00000000-0005-0000-0000-000041000000}"/>
    <cellStyle name="_SHCT Oil 2 2" xfId="424" xr:uid="{979BC7DD-40F0-40A1-91E4-1D409BA784EB}"/>
    <cellStyle name="_SHCT Oil 2 3" xfId="313" xr:uid="{490F133D-0B44-46E4-B6BA-6119FF3BFB57}"/>
    <cellStyle name="_SHCT Oil 3" xfId="423" xr:uid="{56C088BA-8B88-42DA-8D1D-9815048DF6F8}"/>
    <cellStyle name="_SHCT Oil 4" xfId="312" xr:uid="{C5FF66A7-1FEE-45A0-80E7-704EBE0626C6}"/>
    <cellStyle name="_SHCT Oil_130204 2013 - 2061 LONG-TERM FORECAST FPL METHODOLOGY Clean Copy" xfId="67" xr:uid="{00000000-0005-0000-0000-000042000000}"/>
    <cellStyle name="_SHCT Oil_130204 2013 - 2061 LONG-TERM FORECAST FPL METHODOLOGY Clean Copy 2" xfId="425" xr:uid="{891CC7C2-E094-4DFC-B6A8-6C243E72DF77}"/>
    <cellStyle name="_SHCT Oil_130204 2013 - 2061 LONG-TERM FORECAST FPL METHODOLOGY Clean Copy 3" xfId="314" xr:uid="{927E6727-227C-478E-B31C-0C4695C3BD09}"/>
    <cellStyle name="_SHCT Oil_MTHLY_MWH_to EOC_AS AVAILABLE" xfId="68" xr:uid="{00000000-0005-0000-0000-000043000000}"/>
    <cellStyle name="_SHCT Oil_MTHLY_MWH_to EOC_AS AVAILABLE 2" xfId="426" xr:uid="{7C790887-FBE7-46F7-A1E7-9FD56E263C70}"/>
    <cellStyle name="_SHCT Oil_MTHLY_MWH_to EOC_AS AVAILABLE 3" xfId="315" xr:uid="{38C314BE-5034-456C-9447-2E2A87B073E0}"/>
    <cellStyle name="_SN Oil" xfId="69" xr:uid="{00000000-0005-0000-0000-000044000000}"/>
    <cellStyle name="_SN Oil 2" xfId="70" xr:uid="{00000000-0005-0000-0000-000045000000}"/>
    <cellStyle name="_SN Oil 2 2" xfId="428" xr:uid="{5A44AE9F-7829-4BE6-9E6A-D09AD1543B97}"/>
    <cellStyle name="_SN Oil 2 3" xfId="317" xr:uid="{6C7BA9F9-6667-497D-B0A7-06AD3E3D1DA2}"/>
    <cellStyle name="_SN Oil 3" xfId="427" xr:uid="{5FFE53DF-AB5A-408A-9471-AB19AC2D3523}"/>
    <cellStyle name="_SN Oil 4" xfId="316" xr:uid="{ED969FAE-06E9-47FC-8C0C-FE48372A13BE}"/>
    <cellStyle name="_SN Oil_130204 2013 - 2061 LONG-TERM FORECAST FPL METHODOLOGY Clean Copy" xfId="71" xr:uid="{00000000-0005-0000-0000-000046000000}"/>
    <cellStyle name="_SN Oil_130204 2013 - 2061 LONG-TERM FORECAST FPL METHODOLOGY Clean Copy 2" xfId="429" xr:uid="{3732C7E6-2631-4E5E-BE22-E901280B9032}"/>
    <cellStyle name="_SN Oil_130204 2013 - 2061 LONG-TERM FORECAST FPL METHODOLOGY Clean Copy 3" xfId="318" xr:uid="{435B51CA-6219-43DE-ADC6-E269DC01B473}"/>
    <cellStyle name="_SN Oil_MTHLY_MWH_to EOC_AS AVAILABLE" xfId="72" xr:uid="{00000000-0005-0000-0000-000047000000}"/>
    <cellStyle name="_SN Oil_MTHLY_MWH_to EOC_AS AVAILABLE 2" xfId="430" xr:uid="{0EFFD948-985E-431B-8B70-1723954468B6}"/>
    <cellStyle name="_SN Oil_MTHLY_MWH_to EOC_AS AVAILABLE 3" xfId="319" xr:uid="{27CA39B2-506F-4D96-9052-2BC5CDE440CF}"/>
    <cellStyle name="_TP Oil" xfId="73" xr:uid="{00000000-0005-0000-0000-000048000000}"/>
    <cellStyle name="_TP Oil 2" xfId="74" xr:uid="{00000000-0005-0000-0000-000049000000}"/>
    <cellStyle name="_TP Oil 2 2" xfId="432" xr:uid="{9DF5F06F-E53D-406A-930F-46F2E7FFCCBD}"/>
    <cellStyle name="_TP Oil 2 3" xfId="321" xr:uid="{4207AE0B-001A-4F65-97F0-989800783A82}"/>
    <cellStyle name="_TP Oil 3" xfId="431" xr:uid="{BC2090BE-363A-4B67-8E5B-6036F2D17D36}"/>
    <cellStyle name="_TP Oil 4" xfId="320" xr:uid="{134ED7AE-7246-41C8-858F-CD0A54F4B1DE}"/>
    <cellStyle name="_TP Oil_130204 2013 - 2061 LONG-TERM FORECAST FPL METHODOLOGY Clean Copy" xfId="75" xr:uid="{00000000-0005-0000-0000-00004A000000}"/>
    <cellStyle name="_TP Oil_130204 2013 - 2061 LONG-TERM FORECAST FPL METHODOLOGY Clean Copy 2" xfId="433" xr:uid="{51831127-C85C-4479-944B-5632C3977574}"/>
    <cellStyle name="_TP Oil_130204 2013 - 2061 LONG-TERM FORECAST FPL METHODOLOGY Clean Copy 3" xfId="322" xr:uid="{A18281A6-98F6-4D9A-BDB2-C540521F5555}"/>
    <cellStyle name="_TP Oil_MTHLY_MWH_to EOC_AS AVAILABLE" xfId="76" xr:uid="{00000000-0005-0000-0000-00004B000000}"/>
    <cellStyle name="_TP Oil_MTHLY_MWH_to EOC_AS AVAILABLE 2" xfId="434" xr:uid="{F6A25A19-7634-4399-9869-2004E22EC78C}"/>
    <cellStyle name="_TP Oil_MTHLY_MWH_to EOC_AS AVAILABLE 3" xfId="323" xr:uid="{B920EBBC-9698-40B8-A2EC-8C29A9ACDFCB}"/>
    <cellStyle name="_x0010_“+ˆÉ•?pý¤" xfId="77" xr:uid="{00000000-0005-0000-0000-00004C000000}"/>
    <cellStyle name="_x0010_“+ˆÉ•?pý¤ 2" xfId="435" xr:uid="{2A23710D-9883-4E98-8D30-EACF5EF00314}"/>
    <cellStyle name="_x0010_“+ˆÉ•?pý¤ 3" xfId="324" xr:uid="{2B67AA0B-64C7-45DC-9369-95920CC44BF0}"/>
    <cellStyle name="20% - Accent1" xfId="78" builtinId="30" customBuiltin="1"/>
    <cellStyle name="20% - Accent1 2" xfId="79" xr:uid="{00000000-0005-0000-0000-00004E000000}"/>
    <cellStyle name="20% - Accent2" xfId="80" builtinId="34" customBuiltin="1"/>
    <cellStyle name="20% - Accent2 2" xfId="81" xr:uid="{00000000-0005-0000-0000-000050000000}"/>
    <cellStyle name="20% - Accent3" xfId="82" builtinId="38" customBuiltin="1"/>
    <cellStyle name="20% - Accent3 2" xfId="83" xr:uid="{00000000-0005-0000-0000-000052000000}"/>
    <cellStyle name="20% - Accent4" xfId="84" builtinId="42" customBuiltin="1"/>
    <cellStyle name="20% - Accent4 2" xfId="85" xr:uid="{00000000-0005-0000-0000-000054000000}"/>
    <cellStyle name="20% - Accent5" xfId="86" builtinId="46" customBuiltin="1"/>
    <cellStyle name="20% - Accent5 2" xfId="87" xr:uid="{00000000-0005-0000-0000-000056000000}"/>
    <cellStyle name="20% - Accent6" xfId="88" builtinId="50" customBuiltin="1"/>
    <cellStyle name="20% - Accent6 2" xfId="89" xr:uid="{00000000-0005-0000-0000-000058000000}"/>
    <cellStyle name="40% - Accent1" xfId="90" builtinId="31" customBuiltin="1"/>
    <cellStyle name="40% - Accent1 2" xfId="91" xr:uid="{00000000-0005-0000-0000-00005A000000}"/>
    <cellStyle name="40% - Accent2" xfId="92" builtinId="35" customBuiltin="1"/>
    <cellStyle name="40% - Accent2 2" xfId="93" xr:uid="{00000000-0005-0000-0000-00005C000000}"/>
    <cellStyle name="40% - Accent3" xfId="94" builtinId="39" customBuiltin="1"/>
    <cellStyle name="40% - Accent3 2" xfId="95" xr:uid="{00000000-0005-0000-0000-00005E000000}"/>
    <cellStyle name="40% - Accent4" xfId="96" builtinId="43" customBuiltin="1"/>
    <cellStyle name="40% - Accent4 2" xfId="97" xr:uid="{00000000-0005-0000-0000-000060000000}"/>
    <cellStyle name="40% - Accent5" xfId="98" builtinId="47" customBuiltin="1"/>
    <cellStyle name="40% - Accent5 2" xfId="99" xr:uid="{00000000-0005-0000-0000-000062000000}"/>
    <cellStyle name="40% - Accent6" xfId="100" builtinId="51" customBuiltin="1"/>
    <cellStyle name="40% - Accent6 2" xfId="101" xr:uid="{00000000-0005-0000-0000-000064000000}"/>
    <cellStyle name="60% - Accent1" xfId="102" builtinId="32" customBuiltin="1"/>
    <cellStyle name="60% - Accent1 2" xfId="103" xr:uid="{00000000-0005-0000-0000-000066000000}"/>
    <cellStyle name="60% - Accent2" xfId="104" builtinId="36" customBuiltin="1"/>
    <cellStyle name="60% - Accent2 2" xfId="105" xr:uid="{00000000-0005-0000-0000-000068000000}"/>
    <cellStyle name="60% - Accent3" xfId="106" builtinId="40" customBuiltin="1"/>
    <cellStyle name="60% - Accent3 2" xfId="107" xr:uid="{00000000-0005-0000-0000-00006A000000}"/>
    <cellStyle name="60% - Accent4" xfId="108" builtinId="44" customBuiltin="1"/>
    <cellStyle name="60% - Accent4 2" xfId="109" xr:uid="{00000000-0005-0000-0000-00006C000000}"/>
    <cellStyle name="60% - Accent5" xfId="110" builtinId="48" customBuiltin="1"/>
    <cellStyle name="60% - Accent5 2" xfId="111" xr:uid="{00000000-0005-0000-0000-00006E000000}"/>
    <cellStyle name="60% - Accent6" xfId="112" builtinId="52" customBuiltin="1"/>
    <cellStyle name="60% - Accent6 2" xfId="113" xr:uid="{00000000-0005-0000-0000-000070000000}"/>
    <cellStyle name="Accent1" xfId="114" builtinId="29" customBuiltin="1"/>
    <cellStyle name="Accent1 2" xfId="115" xr:uid="{00000000-0005-0000-0000-000072000000}"/>
    <cellStyle name="Accent2" xfId="116" builtinId="33" customBuiltin="1"/>
    <cellStyle name="Accent2 2" xfId="117" xr:uid="{00000000-0005-0000-0000-000074000000}"/>
    <cellStyle name="Accent3" xfId="118" builtinId="37" customBuiltin="1"/>
    <cellStyle name="Accent3 2" xfId="119" xr:uid="{00000000-0005-0000-0000-000076000000}"/>
    <cellStyle name="Accent4" xfId="120" builtinId="41" customBuiltin="1"/>
    <cellStyle name="Accent4 2" xfId="121" xr:uid="{00000000-0005-0000-0000-000078000000}"/>
    <cellStyle name="Accent5" xfId="122" builtinId="45" customBuiltin="1"/>
    <cellStyle name="Accent5 2" xfId="123" xr:uid="{00000000-0005-0000-0000-00007A000000}"/>
    <cellStyle name="Accent6" xfId="124" builtinId="49" customBuiltin="1"/>
    <cellStyle name="Accent6 2" xfId="125" xr:uid="{00000000-0005-0000-0000-00007C000000}"/>
    <cellStyle name="ActiveColumnHeaderStyle" xfId="241" xr:uid="{1C5F3DF6-91C9-45EA-B32C-A12D4B4AFA22}"/>
    <cellStyle name="ActiveRowHeaderStyle" xfId="240" xr:uid="{50580490-343F-430D-A173-89840E2EACCB}"/>
    <cellStyle name="Adjustable" xfId="126" xr:uid="{00000000-0005-0000-0000-00007D000000}"/>
    <cellStyle name="alt" xfId="244" xr:uid="{03032D03-10B5-4CD6-B376-6CFF23536050}"/>
    <cellStyle name="Bad" xfId="127" builtinId="27" customBuiltin="1"/>
    <cellStyle name="Bad 2" xfId="128" xr:uid="{00000000-0005-0000-0000-00007F000000}"/>
    <cellStyle name="Calc Currency (0)" xfId="129" xr:uid="{00000000-0005-0000-0000-000080000000}"/>
    <cellStyle name="Calc Currency (0) 2" xfId="436" xr:uid="{18BB34FF-22D4-4CDB-A0B6-4912F5C6F0AF}"/>
    <cellStyle name="Calc Currency (0) 3" xfId="325" xr:uid="{1F5B4BC4-4197-41C5-A75F-F603E3532403}"/>
    <cellStyle name="Calculation" xfId="130" builtinId="22" customBuiltin="1"/>
    <cellStyle name="Calculation 2" xfId="131" xr:uid="{00000000-0005-0000-0000-000082000000}"/>
    <cellStyle name="Check Cell" xfId="132" builtinId="23" customBuiltin="1"/>
    <cellStyle name="Check Cell 2" xfId="133" xr:uid="{00000000-0005-0000-0000-000084000000}"/>
    <cellStyle name="Comma 2" xfId="134" xr:uid="{00000000-0005-0000-0000-000086000000}"/>
    <cellStyle name="Comma 2 2" xfId="135" xr:uid="{00000000-0005-0000-0000-000087000000}"/>
    <cellStyle name="Comma 2 3" xfId="437" xr:uid="{76CF2517-7D8B-4BDB-AB19-951C943DC0B4}"/>
    <cellStyle name="Comma 2 4" xfId="326" xr:uid="{00118F1E-9349-4AED-9FF8-ECC3997380AF}"/>
    <cellStyle name="Comma 3" xfId="136" xr:uid="{00000000-0005-0000-0000-000088000000}"/>
    <cellStyle name="Comma 3 2" xfId="137" xr:uid="{00000000-0005-0000-0000-000089000000}"/>
    <cellStyle name="Comma 3 2 2" xfId="439" xr:uid="{F9B340C8-B954-4535-9F32-DAB357DDF871}"/>
    <cellStyle name="Comma 3 2 3" xfId="328" xr:uid="{F71D357A-17CC-4A7B-8EAF-C61E6522D5B9}"/>
    <cellStyle name="Comma 3 3" xfId="438" xr:uid="{8C353332-4052-4C48-B82D-52993D4E0CBC}"/>
    <cellStyle name="Comma 3 4" xfId="327" xr:uid="{C28E10EE-B1FE-43C3-A5C9-CD1718F94E2E}"/>
    <cellStyle name="Comma 4" xfId="138" xr:uid="{00000000-0005-0000-0000-00008A000000}"/>
    <cellStyle name="Copied" xfId="139" xr:uid="{00000000-0005-0000-0000-00008B000000}"/>
    <cellStyle name="Currency 2" xfId="140" xr:uid="{00000000-0005-0000-0000-00008C000000}"/>
    <cellStyle name="Currency 2 2" xfId="141" xr:uid="{00000000-0005-0000-0000-00008D000000}"/>
    <cellStyle name="Currency 2 2 2" xfId="441" xr:uid="{E7CEDFCF-57E8-4863-9CE1-76A770EFCA1F}"/>
    <cellStyle name="Currency 2 2 3" xfId="330" xr:uid="{909CD39C-05CF-4CC3-847F-7174CAC56476}"/>
    <cellStyle name="Currency 2 3" xfId="440" xr:uid="{0FEC20F1-5EF5-4BD8-8359-960D3B0F83DA}"/>
    <cellStyle name="Currency 2 4" xfId="329" xr:uid="{42C88B02-286A-429A-8194-E401739A8816}"/>
    <cellStyle name="Currency 3" xfId="142" xr:uid="{00000000-0005-0000-0000-00008E000000}"/>
    <cellStyle name="Currency 3 2" xfId="143" xr:uid="{00000000-0005-0000-0000-00008F000000}"/>
    <cellStyle name="Currency 3 2 2" xfId="443" xr:uid="{C5C6D75C-E26E-454D-8DD6-4A35773F08B4}"/>
    <cellStyle name="Currency 3 2 3" xfId="332" xr:uid="{308869D8-D8F2-4D80-B93C-358E46858273}"/>
    <cellStyle name="Currency 3 3" xfId="442" xr:uid="{6120A863-B282-4A50-A587-AD2EC7C66BD0}"/>
    <cellStyle name="Currency 3 4" xfId="331" xr:uid="{55ED6818-D52F-4B4F-90E9-87D83D7967CC}"/>
    <cellStyle name="Date" xfId="144" xr:uid="{00000000-0005-0000-0000-000090000000}"/>
    <cellStyle name="Date 2" xfId="444" xr:uid="{6D90C628-D98B-473B-AEE1-5A0E144614CD}"/>
    <cellStyle name="Date 3" xfId="333" xr:uid="{303F6E87-96A3-4610-9596-FFC9593DEBAA}"/>
    <cellStyle name="DefaultHeaderStyle" xfId="243" xr:uid="{5C7353F6-0555-4443-A981-8E3D16E922F9}"/>
    <cellStyle name="Dollars" xfId="145" xr:uid="{00000000-0005-0000-0000-000091000000}"/>
    <cellStyle name="Dollars 2" xfId="445" xr:uid="{92FB44E2-84C4-4941-B3CE-34A62C2FC68A}"/>
    <cellStyle name="Dollars 3" xfId="334" xr:uid="{C6468DAC-292F-46D4-B388-833E4A59E006}"/>
    <cellStyle name="Duration" xfId="146" xr:uid="{00000000-0005-0000-0000-000092000000}"/>
    <cellStyle name="Duration 2" xfId="446" xr:uid="{E1547F62-445F-400C-9C09-C25E210F239E}"/>
    <cellStyle name="Duration 3" xfId="335" xr:uid="{91298B7F-DA6F-4750-AEC0-22CEB94A45C9}"/>
    <cellStyle name="Entered" xfId="147" xr:uid="{00000000-0005-0000-0000-000093000000}"/>
    <cellStyle name="Euro" xfId="148" xr:uid="{00000000-0005-0000-0000-000094000000}"/>
    <cellStyle name="Explanatory Text" xfId="149" builtinId="53" customBuiltin="1"/>
    <cellStyle name="Explanatory Text 2" xfId="150" xr:uid="{00000000-0005-0000-0000-000096000000}"/>
    <cellStyle name="FrozenColumnHeader" xfId="242" xr:uid="{DC8DD4FD-6709-4A4A-9A84-8492E9E4CEBF}"/>
    <cellStyle name="Good" xfId="151" builtinId="26" customBuiltin="1"/>
    <cellStyle name="Good 2" xfId="152" xr:uid="{00000000-0005-0000-0000-000098000000}"/>
    <cellStyle name="Grey" xfId="153" xr:uid="{00000000-0005-0000-0000-000099000000}"/>
    <cellStyle name="Grey 2" xfId="447" xr:uid="{2623F3EC-7394-4B5F-8F3E-3F815DADF896}"/>
    <cellStyle name="Grey 3" xfId="336" xr:uid="{921B1153-AFD7-44F6-B7C2-BE8AF52923AB}"/>
    <cellStyle name="Header1" xfId="154" xr:uid="{00000000-0005-0000-0000-00009A000000}"/>
    <cellStyle name="Header2" xfId="155" xr:uid="{00000000-0005-0000-0000-00009B000000}"/>
    <cellStyle name="Heading 1" xfId="156" builtinId="16" customBuiltin="1"/>
    <cellStyle name="Heading 1 2" xfId="157" xr:uid="{00000000-0005-0000-0000-00009D000000}"/>
    <cellStyle name="Heading 2" xfId="158" builtinId="17" customBuiltin="1"/>
    <cellStyle name="Heading 2 2" xfId="159" xr:uid="{00000000-0005-0000-0000-00009F000000}"/>
    <cellStyle name="Heading 3" xfId="160" builtinId="18" customBuiltin="1"/>
    <cellStyle name="Heading 3 2" xfId="161" xr:uid="{00000000-0005-0000-0000-0000A1000000}"/>
    <cellStyle name="Heading 4" xfId="162" builtinId="19" customBuiltin="1"/>
    <cellStyle name="Heading 4 2" xfId="163" xr:uid="{00000000-0005-0000-0000-0000A3000000}"/>
    <cellStyle name="InactiveRowHeaderStyle" xfId="239" xr:uid="{A9DA7EE9-2757-44C6-8240-546F133AA518}"/>
    <cellStyle name="Input" xfId="164" builtinId="20" customBuiltin="1"/>
    <cellStyle name="Input [yellow]" xfId="165" xr:uid="{00000000-0005-0000-0000-0000A5000000}"/>
    <cellStyle name="Input [yellow] 2" xfId="448" xr:uid="{305B53E9-C65C-4E58-8797-0BEB51FDFCD4}"/>
    <cellStyle name="Input [yellow] 3" xfId="337" xr:uid="{B4D04578-DFC2-4242-BEB3-A84FFFFD193E}"/>
    <cellStyle name="Input 2" xfId="166" xr:uid="{00000000-0005-0000-0000-0000A6000000}"/>
    <cellStyle name="Linked Cell" xfId="167" builtinId="24" customBuiltin="1"/>
    <cellStyle name="Linked Cell 2" xfId="168" xr:uid="{00000000-0005-0000-0000-0000A8000000}"/>
    <cellStyle name="Millares [0]_2AV_M_M " xfId="169" xr:uid="{00000000-0005-0000-0000-0000A9000000}"/>
    <cellStyle name="Millares_2AV_M_M " xfId="170" xr:uid="{00000000-0005-0000-0000-0000AA000000}"/>
    <cellStyle name="Moneda [0]_2AV_M_M " xfId="171" xr:uid="{00000000-0005-0000-0000-0000AB000000}"/>
    <cellStyle name="Moneda_2AV_M_M " xfId="172" xr:uid="{00000000-0005-0000-0000-0000AC000000}"/>
    <cellStyle name="Neutral" xfId="173" builtinId="28" customBuiltin="1"/>
    <cellStyle name="Neutral 2" xfId="174" xr:uid="{00000000-0005-0000-0000-0000AE000000}"/>
    <cellStyle name="NonStandardColumnStyle" xfId="238" xr:uid="{3E105239-6C3A-4820-8C5F-4FFF98741B59}"/>
    <cellStyle name="Normal" xfId="0" builtinId="0"/>
    <cellStyle name="Normal - Style1" xfId="175" xr:uid="{00000000-0005-0000-0000-0000B0000000}"/>
    <cellStyle name="Normal - Style1 2" xfId="449" xr:uid="{71A67C66-D2BA-4873-9307-0D17EA721E26}"/>
    <cellStyle name="Normal - Style1 3" xfId="338" xr:uid="{939B98F4-498B-4371-ADDB-C40552DF132B}"/>
    <cellStyle name="Normal 10" xfId="176" xr:uid="{00000000-0005-0000-0000-0000B1000000}"/>
    <cellStyle name="Normal 10 2" xfId="450" xr:uid="{0BFC8775-32CC-48BC-AC1B-2418DDAAEB36}"/>
    <cellStyle name="Normal 10 3" xfId="339" xr:uid="{F4380281-5900-4E39-9962-45E33E40072B}"/>
    <cellStyle name="Normal 11" xfId="227" xr:uid="{3792DF75-3336-4065-B29A-1A92D72D0996}"/>
    <cellStyle name="Normal 11 2" xfId="466" xr:uid="{16A9AF45-3260-4031-9082-0D0B2D093A12}"/>
    <cellStyle name="Normal 11 3" xfId="354" xr:uid="{82648AD4-36C0-4919-ACBF-32D9921407D1}"/>
    <cellStyle name="Normal 12" xfId="246" xr:uid="{AB3995DA-09ED-485B-ADC4-5D9A72DA20C5}"/>
    <cellStyle name="Normal 12 2" xfId="469" xr:uid="{B5A3B356-B25E-4C93-B023-865444259329}"/>
    <cellStyle name="Normal 12 3" xfId="357" xr:uid="{3F08AF6D-D942-49ED-A9A1-8D33380B5810}"/>
    <cellStyle name="Normal 13" xfId="177" xr:uid="{00000000-0005-0000-0000-0000B2000000}"/>
    <cellStyle name="Normal 14" xfId="470" xr:uid="{301E0D7F-49BD-4DD7-9B75-E4225CE61A8C}"/>
    <cellStyle name="Normal 15" xfId="473" xr:uid="{7F089AE9-1BBF-4BB3-BA30-8877F52B27C8}"/>
    <cellStyle name="Normal 16" xfId="475" xr:uid="{6A3E9668-FE56-4395-A6A1-3232D1221785}"/>
    <cellStyle name="Normal 17" xfId="474" xr:uid="{7ACEBCE5-2C1A-48FD-9220-27FDD7B042E7}"/>
    <cellStyle name="Normal 18" xfId="358" xr:uid="{095F6D6D-3552-40F6-9032-59F5BA455ED1}"/>
    <cellStyle name="Normal 19" xfId="464" xr:uid="{0BD1D470-10FA-4BA4-B320-A9757AB7C1F4}"/>
    <cellStyle name="Normal 2" xfId="178" xr:uid="{00000000-0005-0000-0000-0000B3000000}"/>
    <cellStyle name="Normal 2 2" xfId="179" xr:uid="{00000000-0005-0000-0000-0000B4000000}"/>
    <cellStyle name="Normal 2 2 2" xfId="228" xr:uid="{9487D0A4-C3F6-4A47-9036-A420C32BD52C}"/>
    <cellStyle name="Normal 2 2 2 2" xfId="229" xr:uid="{1BA8FC94-77AA-40F8-A8F5-C05E98BA36F7}"/>
    <cellStyle name="Normal 2 2 3" xfId="234" xr:uid="{561BBD82-B6B5-4A69-8014-D23C0D5693E0}"/>
    <cellStyle name="Normal 2 2 4" xfId="232" xr:uid="{492AC89A-9607-4345-915C-D191F3362CB4}"/>
    <cellStyle name="Normal 2 2 5" xfId="245" xr:uid="{71E7C63B-79DF-4ADD-A65D-E88D1900249D}"/>
    <cellStyle name="Normal 2 3" xfId="180" xr:uid="{00000000-0005-0000-0000-0000B5000000}"/>
    <cellStyle name="Normal 2 4" xfId="236" xr:uid="{F06EDA38-C0D5-47E0-AF8A-F9E56F82A1AA}"/>
    <cellStyle name="Normal 2_2009-Oct 2021 RR Current" xfId="181" xr:uid="{00000000-0005-0000-0000-0000B6000000}"/>
    <cellStyle name="Normal 20" xfId="476" xr:uid="{6FFD87E2-FB39-44B2-A226-B76F918979D6}"/>
    <cellStyle name="Normal 21" xfId="456" xr:uid="{0AA61E0E-8EBF-4968-BBE6-416E36222FFA}"/>
    <cellStyle name="Normal 22" xfId="247" xr:uid="{FB3F10F0-D551-4B47-9703-5E9B616C2635}"/>
    <cellStyle name="Normal 23" xfId="352" xr:uid="{BDFD4D50-E328-424C-A934-F4113C2C12B5}"/>
    <cellStyle name="Normal 24" xfId="478" xr:uid="{5F7462C5-F185-4D7E-AEED-EDFC26ED75D8}"/>
    <cellStyle name="Normal 25" xfId="477" xr:uid="{B36399A9-404C-4FD4-80AA-A95CF6855DE5}"/>
    <cellStyle name="Normal 3" xfId="182" xr:uid="{00000000-0005-0000-0000-0000B7000000}"/>
    <cellStyle name="Normal 3 2" xfId="183" xr:uid="{00000000-0005-0000-0000-0000B8000000}"/>
    <cellStyle name="Normal 3 2 2" xfId="452" xr:uid="{39B962B8-207D-4531-874D-53AE4C909CE0}"/>
    <cellStyle name="Normal 3 2 3" xfId="341" xr:uid="{38260B8D-D78A-488D-BABA-A9B415D283D2}"/>
    <cellStyle name="Normal 3 3" xfId="451" xr:uid="{FE54CA4E-EC18-4941-B258-9515252171BE}"/>
    <cellStyle name="Normal 3 4" xfId="340" xr:uid="{A57B72C2-808F-4C8F-94DF-D7206C147675}"/>
    <cellStyle name="Normal 4" xfId="184" xr:uid="{00000000-0005-0000-0000-0000B9000000}"/>
    <cellStyle name="Normal 4 2" xfId="185" xr:uid="{00000000-0005-0000-0000-0000BA000000}"/>
    <cellStyle name="Normal 4 2 2" xfId="233" xr:uid="{BBD1213B-C2CF-4CA4-A5A1-93F456F3AB17}"/>
    <cellStyle name="Normal 4 2 2 2" xfId="472" xr:uid="{7D2480DD-8113-46FB-9EDD-495317BF2B18}"/>
    <cellStyle name="Normal 4 2 2 3" xfId="468" xr:uid="{03F2F754-BD27-4EC9-9DB5-3100391BB1FB}"/>
    <cellStyle name="Normal 4 2 2 4" xfId="356" xr:uid="{9FF94404-D713-4F08-A3C5-43A9233B800D}"/>
    <cellStyle name="Normal 4 2 3" xfId="453" xr:uid="{F78DF5DC-A9B8-4683-BA7D-C411D8E0B5A1}"/>
    <cellStyle name="Normal 4 2 4" xfId="342" xr:uid="{77E3FDF3-7DAC-4DB2-A887-02ADC899C02A}"/>
    <cellStyle name="Normal 4 3 2" xfId="235" xr:uid="{DBE3F030-FA2B-48BE-BF0B-C763EFF38509}"/>
    <cellStyle name="Normal 5" xfId="186" xr:uid="{00000000-0005-0000-0000-0000BB000000}"/>
    <cellStyle name="Normal 5 2" xfId="187" xr:uid="{00000000-0005-0000-0000-0000BC000000}"/>
    <cellStyle name="Normal 5 2 2 2" xfId="230" xr:uid="{95BECE48-3354-44FD-ADB1-172921C58F9A}"/>
    <cellStyle name="Normal 5 2 2 2 2" xfId="471" xr:uid="{6A1EF171-53F9-49E5-9F8F-9D57585FE711}"/>
    <cellStyle name="Normal 5 2 2 2 3" xfId="467" xr:uid="{CF732B4A-8780-4732-9A31-2DE3124547AF}"/>
    <cellStyle name="Normal 5 2 2 2 4" xfId="355" xr:uid="{193C7D91-183C-43E8-878A-00C39FDCC619}"/>
    <cellStyle name="Normal 5 3" xfId="454" xr:uid="{5596A7FD-E235-44A1-B9F5-4255AB1E40AB}"/>
    <cellStyle name="Normal 5 4" xfId="343" xr:uid="{9134354F-53A3-4090-B492-9A1D7398B8F5}"/>
    <cellStyle name="Normal 6" xfId="188" xr:uid="{00000000-0005-0000-0000-0000BD000000}"/>
    <cellStyle name="Normal 6 2" xfId="189" xr:uid="{00000000-0005-0000-0000-0000BE000000}"/>
    <cellStyle name="Normal 6 3" xfId="455" xr:uid="{9A6D5CEC-B476-4061-8F9C-973304EFE8A7}"/>
    <cellStyle name="Normal 6 4" xfId="344" xr:uid="{693C9070-8EC3-422D-8E3F-49564C406077}"/>
    <cellStyle name="Normal 7" xfId="190" xr:uid="{00000000-0005-0000-0000-0000BF000000}"/>
    <cellStyle name="Normal 7 2" xfId="191" xr:uid="{00000000-0005-0000-0000-0000C0000000}"/>
    <cellStyle name="Normal 8" xfId="192" xr:uid="{00000000-0005-0000-0000-0000C1000000}"/>
    <cellStyle name="Normal 9" xfId="193" xr:uid="{00000000-0005-0000-0000-0000C2000000}"/>
    <cellStyle name="Normal_2008-2040 FPL Hourly Fcst (Jan2009 Update) JAN1309" xfId="194" xr:uid="{00000000-0005-0000-0000-0000C3000000}"/>
    <cellStyle name="Normal_FC - Supply Only A" xfId="195" xr:uid="{00000000-0005-0000-0000-0000C5000000}"/>
    <cellStyle name="Normal_system average levelized rate" xfId="196" xr:uid="{00000000-0005-0000-0000-0000C6000000}"/>
    <cellStyle name="Note" xfId="197" builtinId="10" customBuiltin="1"/>
    <cellStyle name="Note 2" xfId="198" xr:uid="{00000000-0005-0000-0000-0000C8000000}"/>
    <cellStyle name="Note 3" xfId="457" xr:uid="{38FCA84C-8734-40DD-A92B-CE760E4EF039}"/>
    <cellStyle name="Note 4" xfId="345" xr:uid="{1D884ADA-25AD-4B05-8E7C-D150BFF20D85}"/>
    <cellStyle name="Output" xfId="199" builtinId="21" customBuiltin="1"/>
    <cellStyle name="Output 2" xfId="200" xr:uid="{00000000-0005-0000-0000-0000CA000000}"/>
    <cellStyle name="Output Amounts" xfId="201" xr:uid="{00000000-0005-0000-0000-0000CB000000}"/>
    <cellStyle name="Output Column Headings" xfId="202" xr:uid="{00000000-0005-0000-0000-0000CC000000}"/>
    <cellStyle name="Output Line Items" xfId="203" xr:uid="{00000000-0005-0000-0000-0000CD000000}"/>
    <cellStyle name="Output Report Heading" xfId="204" xr:uid="{00000000-0005-0000-0000-0000CE000000}"/>
    <cellStyle name="Output Report Title" xfId="205" xr:uid="{00000000-0005-0000-0000-0000CF000000}"/>
    <cellStyle name="Percent" xfId="206" builtinId="5"/>
    <cellStyle name="Percent [2]" xfId="207" xr:uid="{00000000-0005-0000-0000-0000D1000000}"/>
    <cellStyle name="Percent [2] 2" xfId="458" xr:uid="{984D0F86-7EBD-44DB-80B0-8D24506AC366}"/>
    <cellStyle name="Percent [2] 3" xfId="346" xr:uid="{E5B29128-D93D-4CED-A6A9-93507AFF981E}"/>
    <cellStyle name="Percent 2" xfId="208" xr:uid="{00000000-0005-0000-0000-0000D2000000}"/>
    <cellStyle name="Percent 2 2" xfId="209" xr:uid="{00000000-0005-0000-0000-0000D3000000}"/>
    <cellStyle name="Percent 2 3" xfId="231" xr:uid="{2AFF157F-BA35-411C-85C5-3EC5EE6AD9C0}"/>
    <cellStyle name="Percent 3" xfId="210" xr:uid="{00000000-0005-0000-0000-0000D4000000}"/>
    <cellStyle name="Percent 3 2" xfId="459" xr:uid="{7D68ACA0-EAC4-4ED9-B35E-9BC949BEC555}"/>
    <cellStyle name="Percent 3 3" xfId="347" xr:uid="{E0700783-4520-44A7-A299-6B713421A82B}"/>
    <cellStyle name="Price" xfId="211" xr:uid="{00000000-0005-0000-0000-0000D5000000}"/>
    <cellStyle name="Price 2" xfId="460" xr:uid="{D9F1DC48-2270-4063-B72D-70A786282507}"/>
    <cellStyle name="Price 3" xfId="348" xr:uid="{D7CEA7DD-B58B-42B2-AE64-F7FD9922A87A}"/>
    <cellStyle name="ReportHeader" xfId="212" xr:uid="{00000000-0005-0000-0000-0000D6000000}"/>
    <cellStyle name="ResolvedCell" xfId="237" xr:uid="{97D5F71E-FBEB-491A-A8BF-C95754BA9DC1}"/>
    <cellStyle name="RevList" xfId="213" xr:uid="{00000000-0005-0000-0000-0000D7000000}"/>
    <cellStyle name="Style 1" xfId="214" xr:uid="{00000000-0005-0000-0000-0000D8000000}"/>
    <cellStyle name="Style 1 2" xfId="215" xr:uid="{00000000-0005-0000-0000-0000D9000000}"/>
    <cellStyle name="Style 1 2 2" xfId="462" xr:uid="{CA5802DA-DBB6-44D2-8394-57BD976A7502}"/>
    <cellStyle name="Style 1 2 3" xfId="350" xr:uid="{DBDD5022-ADBC-4C4A-849F-F9493E507902}"/>
    <cellStyle name="Style 1 3" xfId="216" xr:uid="{00000000-0005-0000-0000-0000DA000000}"/>
    <cellStyle name="Style 1 4" xfId="461" xr:uid="{32C060B5-4161-4B58-99D1-78BAD7A17113}"/>
    <cellStyle name="Style 1 5" xfId="349" xr:uid="{9FFE227A-0266-4441-9636-7FD337BBC72A}"/>
    <cellStyle name="Style 1_MTHLY_MWH_to EOC_AS AVAILABLE" xfId="217" xr:uid="{00000000-0005-0000-0000-0000DB000000}"/>
    <cellStyle name="Subtotal" xfId="218" xr:uid="{00000000-0005-0000-0000-0000DC000000}"/>
    <cellStyle name="Title" xfId="219" builtinId="15" customBuiltin="1"/>
    <cellStyle name="Title 2" xfId="220" xr:uid="{00000000-0005-0000-0000-0000DE000000}"/>
    <cellStyle name="Total" xfId="221" builtinId="25" customBuiltin="1"/>
    <cellStyle name="Total 2" xfId="222" xr:uid="{00000000-0005-0000-0000-0000E0000000}"/>
    <cellStyle name="Unit" xfId="223" xr:uid="{00000000-0005-0000-0000-0000E1000000}"/>
    <cellStyle name="Unit 2" xfId="463" xr:uid="{DCBE3538-50B0-45B9-8593-9EFF0B41EDD3}"/>
    <cellStyle name="Unit 3" xfId="351" xr:uid="{526FFA25-4790-4BD4-8135-A57E8BE61294}"/>
    <cellStyle name="Warning Text" xfId="224" builtinId="11" customBuiltin="1"/>
    <cellStyle name="Warning Text 2" xfId="225" xr:uid="{00000000-0005-0000-0000-0000E3000000}"/>
    <cellStyle name="Yield" xfId="226" xr:uid="{00000000-0005-0000-0000-0000E4000000}"/>
    <cellStyle name="Yield 2" xfId="465" xr:uid="{97DFAA65-E129-4A02-925C-D0640578AE2F}"/>
    <cellStyle name="Yield 3" xfId="353" xr:uid="{79A114E7-299B-4750-99CE-4174E3BB39C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6"/>
  <sheetViews>
    <sheetView zoomScale="85" workbookViewId="0">
      <selection activeCell="A2" sqref="A1:A2"/>
    </sheetView>
  </sheetViews>
  <sheetFormatPr defaultColWidth="10.28515625" defaultRowHeight="15"/>
  <cols>
    <col min="1" max="1" width="10.28515625" style="3" customWidth="1"/>
    <col min="2" max="2" width="10.28515625" style="4" customWidth="1"/>
    <col min="3" max="3" width="13.5703125" style="4" bestFit="1" customWidth="1"/>
    <col min="4" max="4" width="12" style="4" bestFit="1" customWidth="1"/>
    <col min="5" max="5" width="14.140625" style="4" bestFit="1" customWidth="1"/>
    <col min="6" max="6" width="10.42578125" style="4" bestFit="1" customWidth="1"/>
    <col min="7" max="7" width="10.85546875" style="4" bestFit="1" customWidth="1"/>
    <col min="8" max="8" width="18" style="4" bestFit="1" customWidth="1"/>
    <col min="9" max="9" width="12.140625" style="174" bestFit="1" customWidth="1"/>
    <col min="10" max="10" width="9.42578125" style="174" customWidth="1"/>
    <col min="11" max="11" width="13.5703125" style="4" bestFit="1" customWidth="1"/>
    <col min="12" max="12" width="13.28515625" style="4" bestFit="1" customWidth="1"/>
    <col min="13" max="13" width="17.5703125" style="3" bestFit="1" customWidth="1"/>
    <col min="14" max="14" width="13.140625" style="3" bestFit="1" customWidth="1"/>
    <col min="15" max="15" width="12.28515625" style="3" bestFit="1" customWidth="1"/>
    <col min="16" max="16" width="15.7109375" style="3" bestFit="1" customWidth="1"/>
    <col min="17" max="18" width="15" style="3" bestFit="1" customWidth="1"/>
    <col min="19" max="20" width="16" style="3" bestFit="1" customWidth="1"/>
    <col min="21" max="21" width="16.85546875" style="3" customWidth="1"/>
    <col min="22" max="22" width="5.28515625" style="3" bestFit="1" customWidth="1"/>
    <col min="23" max="23" width="22.140625" style="3" bestFit="1" customWidth="1"/>
    <col min="24" max="24" width="21" style="3" bestFit="1" customWidth="1"/>
    <col min="25" max="25" width="18.5703125" style="3" bestFit="1" customWidth="1"/>
    <col min="26" max="26" width="16.85546875" style="3" customWidth="1"/>
    <col min="27" max="27" width="3.7109375" style="3" customWidth="1"/>
    <col min="28" max="28" width="5.85546875" style="3" bestFit="1" customWidth="1"/>
    <col min="29" max="29" width="14.5703125" style="4" customWidth="1"/>
    <col min="30" max="31" width="14" style="4" bestFit="1" customWidth="1"/>
    <col min="32" max="32" width="13.42578125" style="4" bestFit="1" customWidth="1"/>
    <col min="33" max="16384" width="10.28515625" style="4"/>
  </cols>
  <sheetData>
    <row r="1" spans="1:35">
      <c r="A1" s="193" t="s">
        <v>82</v>
      </c>
    </row>
    <row r="2" spans="1:35" ht="15.75">
      <c r="A2" s="193" t="s">
        <v>81</v>
      </c>
      <c r="B2" s="164"/>
      <c r="C2" s="164"/>
      <c r="D2" s="164"/>
      <c r="E2" s="164"/>
      <c r="F2" s="164"/>
      <c r="G2" s="164"/>
      <c r="H2" s="164"/>
      <c r="I2" s="173"/>
      <c r="J2" s="173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20"/>
      <c r="V2" s="20"/>
      <c r="W2" s="20"/>
      <c r="X2" s="20"/>
      <c r="Y2" s="20"/>
      <c r="Z2" s="20"/>
    </row>
    <row r="3" spans="1:35">
      <c r="A3" s="15"/>
    </row>
    <row r="4" spans="1:35" ht="18.75">
      <c r="A4" s="166" t="s">
        <v>78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"/>
      <c r="V4" s="1"/>
      <c r="W4" s="1"/>
      <c r="X4" s="1"/>
      <c r="Y4" s="1"/>
      <c r="Z4" s="1"/>
    </row>
    <row r="5" spans="1:35" ht="18.75">
      <c r="A5" s="1"/>
      <c r="B5" s="1"/>
      <c r="C5" s="1"/>
      <c r="D5" s="1"/>
      <c r="E5" s="1"/>
      <c r="F5" s="1"/>
      <c r="G5" s="1"/>
      <c r="H5" s="60"/>
      <c r="I5" s="175"/>
      <c r="J5" s="17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5">
      <c r="B6" s="5"/>
      <c r="C6" s="5"/>
      <c r="D6" s="5"/>
      <c r="E6" s="5"/>
      <c r="F6" s="5"/>
      <c r="G6" s="5"/>
      <c r="H6" s="5"/>
      <c r="I6" s="176"/>
      <c r="J6" s="17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35">
      <c r="A7" s="23"/>
      <c r="B7" s="27">
        <v>-1</v>
      </c>
      <c r="C7" s="27">
        <v>-2</v>
      </c>
      <c r="D7" s="96">
        <v>-3</v>
      </c>
      <c r="E7" s="96">
        <v>-4</v>
      </c>
      <c r="F7" s="96">
        <v>-5</v>
      </c>
      <c r="G7" s="24">
        <v>-6</v>
      </c>
      <c r="H7" s="27" t="s">
        <v>56</v>
      </c>
      <c r="I7" s="177">
        <v>-8</v>
      </c>
      <c r="J7" s="177">
        <v>-9</v>
      </c>
      <c r="K7" s="80">
        <v>-10</v>
      </c>
      <c r="L7" s="27" t="s">
        <v>59</v>
      </c>
      <c r="M7" s="24" t="s">
        <v>60</v>
      </c>
      <c r="N7" s="50">
        <v>-13</v>
      </c>
      <c r="O7" s="51">
        <v>-14</v>
      </c>
      <c r="P7" s="27" t="s">
        <v>61</v>
      </c>
      <c r="Q7" s="24" t="s">
        <v>62</v>
      </c>
      <c r="R7" s="27" t="s">
        <v>63</v>
      </c>
      <c r="S7" s="24">
        <v>-18</v>
      </c>
      <c r="T7" s="27" t="s">
        <v>64</v>
      </c>
      <c r="U7" s="5"/>
      <c r="V7" s="5"/>
      <c r="W7" s="5">
        <v>1000000</v>
      </c>
      <c r="X7" s="5"/>
      <c r="Y7" s="5"/>
      <c r="Z7" s="5"/>
      <c r="AB7" s="42"/>
      <c r="AC7" s="39"/>
      <c r="AD7" s="39"/>
      <c r="AE7" s="39"/>
      <c r="AF7" s="40"/>
      <c r="AG7" s="40"/>
    </row>
    <row r="8" spans="1:35">
      <c r="A8" s="25"/>
      <c r="B8" s="90" t="s">
        <v>0</v>
      </c>
      <c r="C8" s="93"/>
      <c r="D8" s="97"/>
      <c r="E8" s="97"/>
      <c r="F8" s="98" t="s">
        <v>36</v>
      </c>
      <c r="H8" s="28" t="s">
        <v>57</v>
      </c>
      <c r="I8" s="178" t="s">
        <v>45</v>
      </c>
      <c r="J8" s="178" t="s">
        <v>42</v>
      </c>
      <c r="K8" s="81" t="s">
        <v>42</v>
      </c>
      <c r="L8" s="28" t="s">
        <v>58</v>
      </c>
      <c r="M8" s="26" t="s">
        <v>0</v>
      </c>
      <c r="N8" s="52"/>
      <c r="O8" s="53"/>
      <c r="P8" s="28" t="s">
        <v>0</v>
      </c>
      <c r="Q8" s="26" t="s">
        <v>19</v>
      </c>
      <c r="R8" s="28" t="s">
        <v>2</v>
      </c>
      <c r="S8" s="26" t="s">
        <v>19</v>
      </c>
      <c r="T8" s="28" t="s">
        <v>2</v>
      </c>
      <c r="W8" s="107"/>
      <c r="X8" s="107"/>
      <c r="Y8" s="107"/>
      <c r="AB8" s="42"/>
      <c r="AC8" s="39"/>
      <c r="AD8" s="39"/>
      <c r="AE8" s="39"/>
      <c r="AF8" s="40"/>
      <c r="AG8" s="40"/>
    </row>
    <row r="9" spans="1:35">
      <c r="A9" s="25"/>
      <c r="B9" s="90" t="s">
        <v>3</v>
      </c>
      <c r="C9" s="28" t="s">
        <v>0</v>
      </c>
      <c r="D9" s="98" t="s">
        <v>36</v>
      </c>
      <c r="E9" s="98" t="s">
        <v>36</v>
      </c>
      <c r="F9" s="98" t="s">
        <v>52</v>
      </c>
      <c r="G9" s="26" t="s">
        <v>4</v>
      </c>
      <c r="H9" s="28" t="s">
        <v>47</v>
      </c>
      <c r="I9" s="178" t="s">
        <v>46</v>
      </c>
      <c r="J9" s="178" t="s">
        <v>36</v>
      </c>
      <c r="K9" s="81" t="s">
        <v>8</v>
      </c>
      <c r="L9" s="28" t="s">
        <v>0</v>
      </c>
      <c r="M9" s="26" t="s">
        <v>20</v>
      </c>
      <c r="N9" s="52" t="s">
        <v>0</v>
      </c>
      <c r="O9" s="42" t="s">
        <v>0</v>
      </c>
      <c r="P9" s="28" t="s">
        <v>32</v>
      </c>
      <c r="Q9" s="26" t="s">
        <v>0</v>
      </c>
      <c r="R9" s="28" t="s">
        <v>0</v>
      </c>
      <c r="S9" s="26" t="s">
        <v>21</v>
      </c>
      <c r="T9" s="28" t="s">
        <v>21</v>
      </c>
      <c r="W9" s="53"/>
      <c r="X9" s="3" t="s">
        <v>39</v>
      </c>
      <c r="AB9" s="42"/>
      <c r="AC9" s="42" t="s">
        <v>80</v>
      </c>
      <c r="AD9" s="39"/>
      <c r="AE9" s="40"/>
      <c r="AF9" s="42"/>
      <c r="AG9" s="40"/>
      <c r="AH9" s="16"/>
      <c r="AI9" s="16"/>
    </row>
    <row r="10" spans="1:35" ht="15.75" thickBot="1">
      <c r="A10" s="25"/>
      <c r="B10" s="90" t="s">
        <v>22</v>
      </c>
      <c r="C10" s="28" t="s">
        <v>28</v>
      </c>
      <c r="D10" s="98" t="s">
        <v>43</v>
      </c>
      <c r="E10" s="98" t="s">
        <v>44</v>
      </c>
      <c r="F10" s="98" t="s">
        <v>51</v>
      </c>
      <c r="G10" s="26" t="s">
        <v>29</v>
      </c>
      <c r="H10" s="28" t="s">
        <v>29</v>
      </c>
      <c r="I10" s="178" t="s">
        <v>10</v>
      </c>
      <c r="J10" s="178" t="s">
        <v>10</v>
      </c>
      <c r="K10" s="81" t="s">
        <v>10</v>
      </c>
      <c r="L10" s="28" t="s">
        <v>34</v>
      </c>
      <c r="M10" s="26" t="s">
        <v>23</v>
      </c>
      <c r="N10" s="52" t="s">
        <v>30</v>
      </c>
      <c r="O10" s="42" t="s">
        <v>31</v>
      </c>
      <c r="P10" s="28" t="s">
        <v>33</v>
      </c>
      <c r="Q10" s="26" t="s">
        <v>24</v>
      </c>
      <c r="R10" s="28" t="s">
        <v>24</v>
      </c>
      <c r="S10" s="26" t="s">
        <v>25</v>
      </c>
      <c r="T10" s="28" t="s">
        <v>25</v>
      </c>
      <c r="W10" s="3" t="s">
        <v>37</v>
      </c>
      <c r="X10" s="3" t="s">
        <v>40</v>
      </c>
      <c r="AB10" s="42"/>
      <c r="AC10" s="40"/>
      <c r="AD10" s="40"/>
      <c r="AE10" s="40"/>
      <c r="AF10" s="42"/>
      <c r="AG10" s="40"/>
      <c r="AH10" s="16"/>
      <c r="AI10" s="16"/>
    </row>
    <row r="11" spans="1:35" ht="15.75" thickBot="1">
      <c r="A11" s="31" t="s">
        <v>13</v>
      </c>
      <c r="B11" s="91">
        <f>'Fixed Costs - TRC'!$C$8</f>
        <v>8.1438910919999996E-2</v>
      </c>
      <c r="C11" s="37" t="s">
        <v>17</v>
      </c>
      <c r="D11" s="99" t="s">
        <v>17</v>
      </c>
      <c r="E11" s="99" t="s">
        <v>17</v>
      </c>
      <c r="F11" s="99" t="s">
        <v>17</v>
      </c>
      <c r="G11" s="36" t="s">
        <v>17</v>
      </c>
      <c r="H11" s="37" t="s">
        <v>17</v>
      </c>
      <c r="I11" s="179" t="s">
        <v>17</v>
      </c>
      <c r="J11" s="179" t="s">
        <v>17</v>
      </c>
      <c r="K11" s="82" t="s">
        <v>17</v>
      </c>
      <c r="L11" s="37" t="s">
        <v>17</v>
      </c>
      <c r="M11" s="36" t="s">
        <v>17</v>
      </c>
      <c r="N11" s="54" t="s">
        <v>26</v>
      </c>
      <c r="O11" s="55" t="s">
        <v>26</v>
      </c>
      <c r="P11" s="32" t="s">
        <v>26</v>
      </c>
      <c r="Q11" s="33" t="s">
        <v>27</v>
      </c>
      <c r="R11" s="32" t="s">
        <v>27</v>
      </c>
      <c r="S11" s="33" t="s">
        <v>27</v>
      </c>
      <c r="T11" s="32" t="s">
        <v>27</v>
      </c>
      <c r="U11" s="6"/>
      <c r="V11" s="6" t="s">
        <v>13</v>
      </c>
      <c r="W11" s="6" t="s">
        <v>38</v>
      </c>
      <c r="X11" s="6" t="s">
        <v>41</v>
      </c>
      <c r="Y11" s="101" t="s">
        <v>1</v>
      </c>
      <c r="Z11" s="6"/>
      <c r="AB11" s="42"/>
      <c r="AC11" s="42"/>
      <c r="AD11" s="42"/>
      <c r="AE11" s="40"/>
      <c r="AF11" s="42"/>
      <c r="AG11" s="40"/>
      <c r="AH11" s="16"/>
      <c r="AI11" s="16"/>
    </row>
    <row r="12" spans="1:35" ht="15.75" thickTop="1">
      <c r="A12" s="29">
        <v>2024</v>
      </c>
      <c r="B12" s="92">
        <v>1</v>
      </c>
      <c r="C12" s="34">
        <f>'Fixed Costs - TRC'!L9*1000</f>
        <v>2698623.3130945885</v>
      </c>
      <c r="D12" s="100">
        <v>0</v>
      </c>
      <c r="E12" s="100">
        <v>0</v>
      </c>
      <c r="F12" s="100">
        <v>0</v>
      </c>
      <c r="G12" s="34">
        <f>'Fixed Costs - TRC'!G9*1000</f>
        <v>172692.60292053223</v>
      </c>
      <c r="H12" s="38">
        <f t="shared" ref="H12:H58" si="0">SUM(D12:G12)</f>
        <v>172692.60292053223</v>
      </c>
      <c r="I12" s="180">
        <f>X12/1000</f>
        <v>109833.20258635563</v>
      </c>
      <c r="J12" s="180">
        <f>W12/1000</f>
        <v>29443.389429999999</v>
      </c>
      <c r="K12" s="83">
        <v>10859878.200178469</v>
      </c>
      <c r="L12" s="34">
        <f>SUM(I12:K12)</f>
        <v>10999154.792194825</v>
      </c>
      <c r="M12" s="34">
        <f t="shared" ref="M12:M58" si="1">C12+H12+L12</f>
        <v>13870470.708209945</v>
      </c>
      <c r="N12" s="34">
        <f>NEL!B5/1000</f>
        <v>140469.03977881325</v>
      </c>
      <c r="O12" s="89">
        <v>113.16277017307091</v>
      </c>
      <c r="P12" s="34">
        <f t="shared" ref="P12:P41" si="2">N12-O12</f>
        <v>140355.87700864018</v>
      </c>
      <c r="Q12" s="58">
        <f t="shared" ref="Q12:Q41" si="3">(M12/P12)/10</f>
        <v>9.8823583335638254</v>
      </c>
      <c r="R12" s="30">
        <f t="shared" ref="R12:R58" si="4">Q12*B12</f>
        <v>9.8823583335638254</v>
      </c>
      <c r="S12" s="104">
        <v>14.884891880407711</v>
      </c>
      <c r="T12" s="35">
        <f t="shared" ref="T12:T58" si="5">S12*B12</f>
        <v>14.884891880407711</v>
      </c>
      <c r="U12" s="112"/>
      <c r="V12" s="57">
        <f t="shared" ref="V12:V58" si="6">A12</f>
        <v>2024</v>
      </c>
      <c r="W12" s="17">
        <v>29443389.43</v>
      </c>
      <c r="X12" s="17">
        <v>109833202.58635563</v>
      </c>
      <c r="Y12" s="102">
        <f>W12+X12</f>
        <v>139276592.01635563</v>
      </c>
      <c r="Z12" s="14"/>
      <c r="AB12" s="42"/>
      <c r="AC12" s="42">
        <v>0</v>
      </c>
      <c r="AD12" s="41"/>
      <c r="AE12" s="40"/>
      <c r="AF12" s="43"/>
      <c r="AG12" s="40"/>
      <c r="AH12" s="16"/>
      <c r="AI12" s="16"/>
    </row>
    <row r="13" spans="1:35">
      <c r="A13" s="29">
        <f t="shared" ref="A13:A58" si="7">A12+1</f>
        <v>2025</v>
      </c>
      <c r="B13" s="92">
        <f t="shared" ref="B13:B41" si="8">B12/(1+$B$11)</f>
        <v>0.92469393314993775</v>
      </c>
      <c r="C13" s="34">
        <f>'Fixed Costs - TRC'!L10*1000</f>
        <v>2844400.0100694108</v>
      </c>
      <c r="D13" s="100">
        <v>6987.8000873856327</v>
      </c>
      <c r="E13" s="100">
        <v>14759.750345508211</v>
      </c>
      <c r="F13" s="100">
        <v>0</v>
      </c>
      <c r="G13" s="34">
        <f>'Fixed Costs - TRC'!G10*1000</f>
        <v>365018.49858474685</v>
      </c>
      <c r="H13" s="38">
        <f t="shared" si="0"/>
        <v>386766.0490176407</v>
      </c>
      <c r="I13" s="180">
        <f t="shared" ref="I13:I46" si="9">X13/1000</f>
        <v>109833.20258635563</v>
      </c>
      <c r="J13" s="180">
        <f>W13/1000</f>
        <v>29443.389429999999</v>
      </c>
      <c r="K13" s="83">
        <v>11202336.756806841</v>
      </c>
      <c r="L13" s="34">
        <f t="shared" ref="L13:L41" si="10">SUM(I13:K13)</f>
        <v>11341613.348823197</v>
      </c>
      <c r="M13" s="34">
        <f t="shared" si="1"/>
        <v>14572779.407910248</v>
      </c>
      <c r="N13" s="34">
        <f>NEL!B6/1000</f>
        <v>141760.59545007616</v>
      </c>
      <c r="O13" s="89">
        <f>O12+AC13</f>
        <v>243.66635610599815</v>
      </c>
      <c r="P13" s="34">
        <f t="shared" si="2"/>
        <v>141516.92909397016</v>
      </c>
      <c r="Q13" s="58">
        <f t="shared" si="3"/>
        <v>10.297552032261541</v>
      </c>
      <c r="R13" s="30">
        <f t="shared" si="4"/>
        <v>9.5220838905280587</v>
      </c>
      <c r="S13" s="56">
        <f t="shared" ref="S13:S38" si="11">S12</f>
        <v>14.884891880407711</v>
      </c>
      <c r="T13" s="35">
        <f t="shared" si="5"/>
        <v>13.763969217405778</v>
      </c>
      <c r="U13" s="112"/>
      <c r="V13" s="57">
        <f t="shared" si="6"/>
        <v>2025</v>
      </c>
      <c r="W13" s="17">
        <v>29443389.43</v>
      </c>
      <c r="X13" s="17">
        <v>109833202.58635563</v>
      </c>
      <c r="Y13" s="102">
        <f t="shared" ref="Y13:Y52" si="12">W13+X13</f>
        <v>139276592.01635563</v>
      </c>
      <c r="Z13" s="14"/>
      <c r="AB13" s="42"/>
      <c r="AC13" s="43">
        <v>130.50358593292725</v>
      </c>
      <c r="AD13" s="43"/>
      <c r="AE13" s="40"/>
      <c r="AF13" s="42"/>
      <c r="AG13" s="40"/>
      <c r="AH13" s="16"/>
      <c r="AI13" s="16"/>
    </row>
    <row r="14" spans="1:35">
      <c r="A14" s="29">
        <f t="shared" si="7"/>
        <v>2026</v>
      </c>
      <c r="B14" s="92">
        <f t="shared" si="8"/>
        <v>0.85505887000430159</v>
      </c>
      <c r="C14" s="34">
        <f>'Fixed Costs - TRC'!L11*1000</f>
        <v>2952244.8500076951</v>
      </c>
      <c r="D14" s="100">
        <v>7615.5058799807894</v>
      </c>
      <c r="E14" s="100">
        <v>16102.840487750964</v>
      </c>
      <c r="F14" s="100">
        <v>-3170.7530582693125</v>
      </c>
      <c r="G14" s="34">
        <f>'Fixed Costs - TRC'!G11*1000</f>
        <v>1002077.1925048828</v>
      </c>
      <c r="H14" s="38">
        <f t="shared" si="0"/>
        <v>1022624.7858143452</v>
      </c>
      <c r="I14" s="180">
        <f t="shared" si="9"/>
        <v>109833.20258635563</v>
      </c>
      <c r="J14" s="180">
        <f t="shared" ref="J14:J20" si="13">W14/1000</f>
        <v>29443.389429999999</v>
      </c>
      <c r="K14" s="83">
        <v>12157659.839351771</v>
      </c>
      <c r="L14" s="34">
        <f t="shared" si="10"/>
        <v>12296936.431368127</v>
      </c>
      <c r="M14" s="34">
        <f t="shared" si="1"/>
        <v>16271806.067190168</v>
      </c>
      <c r="N14" s="34">
        <f>NEL!B7/1000</f>
        <v>142991.00188578918</v>
      </c>
      <c r="O14" s="34">
        <f t="shared" ref="O14:O22" si="14">O13+AC14</f>
        <v>377.31869217857388</v>
      </c>
      <c r="P14" s="34">
        <f t="shared" si="2"/>
        <v>142613.6831936106</v>
      </c>
      <c r="Q14" s="58">
        <f t="shared" si="3"/>
        <v>11.409708874217745</v>
      </c>
      <c r="R14" s="30">
        <f t="shared" si="4"/>
        <v>9.7559727770666775</v>
      </c>
      <c r="S14" s="56">
        <f t="shared" si="11"/>
        <v>14.884891880407711</v>
      </c>
      <c r="T14" s="35">
        <f t="shared" si="5"/>
        <v>12.727458831397621</v>
      </c>
      <c r="U14" s="112"/>
      <c r="V14" s="57">
        <f t="shared" si="6"/>
        <v>2026</v>
      </c>
      <c r="W14" s="17">
        <v>29443389.43</v>
      </c>
      <c r="X14" s="17">
        <f>X13</f>
        <v>109833202.58635563</v>
      </c>
      <c r="Y14" s="102">
        <f t="shared" si="12"/>
        <v>139276592.01635563</v>
      </c>
      <c r="Z14" s="14"/>
      <c r="AB14" s="42"/>
      <c r="AC14" s="44">
        <v>133.65233607257574</v>
      </c>
      <c r="AD14" s="45"/>
      <c r="AE14" s="45"/>
      <c r="AF14" s="42"/>
      <c r="AG14" s="42"/>
      <c r="AH14" s="16"/>
      <c r="AI14" s="16"/>
    </row>
    <row r="15" spans="1:35">
      <c r="A15" s="29">
        <f t="shared" si="7"/>
        <v>2027</v>
      </c>
      <c r="B15" s="92">
        <f t="shared" si="8"/>
        <v>0.79066774957901897</v>
      </c>
      <c r="C15" s="34">
        <f>'Fixed Costs - TRC'!L12*1000</f>
        <v>2521157.441220908</v>
      </c>
      <c r="D15" s="100">
        <v>8274.7266821479425</v>
      </c>
      <c r="E15" s="100">
        <v>17517.934317523115</v>
      </c>
      <c r="F15" s="100">
        <v>-6240.1692724352843</v>
      </c>
      <c r="G15" s="34">
        <f>'Fixed Costs - TRC'!G12*1000</f>
        <v>1518427.0116348239</v>
      </c>
      <c r="H15" s="38">
        <f t="shared" si="0"/>
        <v>1537979.5033620596</v>
      </c>
      <c r="I15" s="180">
        <f t="shared" si="9"/>
        <v>109833.20258635563</v>
      </c>
      <c r="J15" s="180">
        <f t="shared" si="13"/>
        <v>29443.389429999999</v>
      </c>
      <c r="K15" s="83">
        <v>12794985.855433038</v>
      </c>
      <c r="L15" s="34">
        <f t="shared" si="10"/>
        <v>12934262.447449394</v>
      </c>
      <c r="M15" s="34">
        <f t="shared" si="1"/>
        <v>16993399.392032363</v>
      </c>
      <c r="N15" s="34">
        <f>NEL!B8/1000</f>
        <v>144052.94912134702</v>
      </c>
      <c r="O15" s="34">
        <f t="shared" si="14"/>
        <v>515.01169097332513</v>
      </c>
      <c r="P15" s="34">
        <f t="shared" si="2"/>
        <v>143537.93743037368</v>
      </c>
      <c r="Q15" s="58">
        <f t="shared" si="3"/>
        <v>11.838960275066928</v>
      </c>
      <c r="R15" s="30">
        <f t="shared" si="4"/>
        <v>9.3606840780425706</v>
      </c>
      <c r="S15" s="56">
        <f t="shared" si="11"/>
        <v>14.884891880407711</v>
      </c>
      <c r="T15" s="35">
        <f t="shared" si="5"/>
        <v>11.769003965808977</v>
      </c>
      <c r="U15" s="112"/>
      <c r="V15" s="57">
        <f t="shared" si="6"/>
        <v>2027</v>
      </c>
      <c r="W15" s="17">
        <v>29443389.43</v>
      </c>
      <c r="X15" s="17">
        <f>X14</f>
        <v>109833202.58635563</v>
      </c>
      <c r="Y15" s="102">
        <f t="shared" si="12"/>
        <v>139276592.01635563</v>
      </c>
      <c r="Z15" s="14"/>
      <c r="AB15" s="42"/>
      <c r="AC15" s="40">
        <v>137.69299879475119</v>
      </c>
      <c r="AD15" s="46"/>
      <c r="AE15" s="47"/>
      <c r="AF15" s="43"/>
      <c r="AG15" s="48"/>
      <c r="AH15" s="16"/>
      <c r="AI15" s="16"/>
    </row>
    <row r="16" spans="1:35">
      <c r="A16" s="29">
        <f t="shared" si="7"/>
        <v>2028</v>
      </c>
      <c r="B16" s="92">
        <f t="shared" si="8"/>
        <v>0.73112567117303318</v>
      </c>
      <c r="C16" s="34">
        <f>'Fixed Costs - TRC'!L13*1000</f>
        <v>2333739.1015264676</v>
      </c>
      <c r="D16" s="100">
        <v>8988.4772329982952</v>
      </c>
      <c r="E16" s="100">
        <v>18955.250930578521</v>
      </c>
      <c r="F16" s="100">
        <v>-9352.5090934765449</v>
      </c>
      <c r="G16" s="34">
        <f>'Fixed Costs - TRC'!G13*1000</f>
        <v>2000223.4958725006</v>
      </c>
      <c r="H16" s="38">
        <f t="shared" si="0"/>
        <v>2018814.7149426008</v>
      </c>
      <c r="I16" s="180">
        <f t="shared" si="9"/>
        <v>109833.20258635563</v>
      </c>
      <c r="J16" s="180">
        <f t="shared" si="13"/>
        <v>29443.389429999999</v>
      </c>
      <c r="K16" s="83">
        <v>13073195.357879939</v>
      </c>
      <c r="L16" s="34">
        <f t="shared" si="10"/>
        <v>13212471.949896295</v>
      </c>
      <c r="M16" s="34">
        <f t="shared" si="1"/>
        <v>17565025.766365364</v>
      </c>
      <c r="N16" s="34">
        <f>NEL!B9/1000</f>
        <v>145101.0749486612</v>
      </c>
      <c r="O16" s="34">
        <f t="shared" si="14"/>
        <v>658.12701015902007</v>
      </c>
      <c r="P16" s="34">
        <f t="shared" si="2"/>
        <v>144442.94793850218</v>
      </c>
      <c r="Q16" s="58">
        <f t="shared" si="3"/>
        <v>12.160528441889614</v>
      </c>
      <c r="R16" s="30">
        <f t="shared" si="4"/>
        <v>8.8908745188953038</v>
      </c>
      <c r="S16" s="56">
        <f t="shared" si="11"/>
        <v>14.884891880407711</v>
      </c>
      <c r="T16" s="35">
        <f t="shared" si="5"/>
        <v>10.88272656640112</v>
      </c>
      <c r="U16" s="112"/>
      <c r="V16" s="57">
        <f t="shared" si="6"/>
        <v>2028</v>
      </c>
      <c r="W16" s="17">
        <v>29443389.43</v>
      </c>
      <c r="X16" s="17">
        <f t="shared" ref="X16:X58" si="15">X15</f>
        <v>109833202.58635563</v>
      </c>
      <c r="Y16" s="102">
        <f t="shared" si="12"/>
        <v>139276592.01635563</v>
      </c>
      <c r="Z16" s="14"/>
      <c r="AB16" s="42"/>
      <c r="AC16" s="40">
        <v>143.11531918569494</v>
      </c>
      <c r="AD16" s="40"/>
      <c r="AE16" s="40"/>
      <c r="AF16" s="43"/>
      <c r="AG16" s="49"/>
      <c r="AH16" s="16"/>
      <c r="AI16" s="16"/>
    </row>
    <row r="17" spans="1:33">
      <c r="A17" s="29">
        <f t="shared" si="7"/>
        <v>2029</v>
      </c>
      <c r="B17" s="92">
        <f t="shared" si="8"/>
        <v>0.67606747250388011</v>
      </c>
      <c r="C17" s="34">
        <f>'Fixed Costs - TRC'!L14*1000</f>
        <v>2058456.5925418064</v>
      </c>
      <c r="D17" s="100">
        <v>9744.0730794718584</v>
      </c>
      <c r="E17" s="100">
        <v>20316.003263910377</v>
      </c>
      <c r="F17" s="100">
        <v>-12539.968400648757</v>
      </c>
      <c r="G17" s="34">
        <f>'Fixed Costs - TRC'!G14*1000</f>
        <v>2470101.9975128123</v>
      </c>
      <c r="H17" s="38">
        <f t="shared" si="0"/>
        <v>2487622.1054555457</v>
      </c>
      <c r="I17" s="180">
        <f t="shared" si="9"/>
        <v>109833.20258635563</v>
      </c>
      <c r="J17" s="180">
        <f t="shared" si="13"/>
        <v>29443.389429999999</v>
      </c>
      <c r="K17" s="83">
        <v>13452685.131728483</v>
      </c>
      <c r="L17" s="34">
        <f t="shared" si="10"/>
        <v>13591961.723744839</v>
      </c>
      <c r="M17" s="34">
        <f t="shared" si="1"/>
        <v>18138040.421742193</v>
      </c>
      <c r="N17" s="34">
        <f>NEL!B10/1000</f>
        <v>146550.77966747939</v>
      </c>
      <c r="O17" s="34">
        <f t="shared" si="14"/>
        <v>806.99995368481154</v>
      </c>
      <c r="P17" s="34">
        <f t="shared" si="2"/>
        <v>145743.77971379459</v>
      </c>
      <c r="Q17" s="58">
        <f t="shared" si="3"/>
        <v>12.445155777736039</v>
      </c>
      <c r="R17" s="30">
        <f t="shared" si="4"/>
        <v>8.4137650115710638</v>
      </c>
      <c r="S17" s="56">
        <f t="shared" si="11"/>
        <v>14.884891880407711</v>
      </c>
      <c r="T17" s="35">
        <f t="shared" si="5"/>
        <v>10.063191232080769</v>
      </c>
      <c r="U17" s="112"/>
      <c r="V17" s="57">
        <f t="shared" si="6"/>
        <v>2029</v>
      </c>
      <c r="W17" s="17">
        <v>29443389.43</v>
      </c>
      <c r="X17" s="17">
        <f t="shared" si="15"/>
        <v>109833202.58635563</v>
      </c>
      <c r="Y17" s="102">
        <f t="shared" si="12"/>
        <v>139276592.01635563</v>
      </c>
      <c r="Z17" s="14"/>
      <c r="AB17" s="42"/>
      <c r="AC17" s="44">
        <v>148.87294352579147</v>
      </c>
      <c r="AD17" s="46"/>
      <c r="AE17" s="40"/>
      <c r="AF17" s="43"/>
      <c r="AG17" s="42"/>
    </row>
    <row r="18" spans="1:33">
      <c r="A18" s="29">
        <f t="shared" si="7"/>
        <v>2030</v>
      </c>
      <c r="B18" s="92">
        <f t="shared" si="8"/>
        <v>0.62515549022435035</v>
      </c>
      <c r="C18" s="34">
        <f>'Fixed Costs - TRC'!L15*1000</f>
        <v>1538778.9421001964</v>
      </c>
      <c r="D18" s="100">
        <v>10304.287844224204</v>
      </c>
      <c r="E18" s="100">
        <v>21672.147153709797</v>
      </c>
      <c r="F18" s="100">
        <v>-15818.647547668112</v>
      </c>
      <c r="G18" s="34">
        <f>'Fixed Costs - TRC'!G15*1000</f>
        <v>2883593.9639739962</v>
      </c>
      <c r="H18" s="38">
        <f t="shared" si="0"/>
        <v>2899751.7514242623</v>
      </c>
      <c r="I18" s="180">
        <f t="shared" si="9"/>
        <v>109833.20258635563</v>
      </c>
      <c r="J18" s="180">
        <f t="shared" si="13"/>
        <v>29443.389429999999</v>
      </c>
      <c r="K18" s="83">
        <v>13835256.619957393</v>
      </c>
      <c r="L18" s="34">
        <f t="shared" si="10"/>
        <v>13974533.211973749</v>
      </c>
      <c r="M18" s="34">
        <f t="shared" si="1"/>
        <v>18413063.905498207</v>
      </c>
      <c r="N18" s="34">
        <f>NEL!B11/1000</f>
        <v>148289.96700672709</v>
      </c>
      <c r="O18" s="34">
        <f t="shared" si="14"/>
        <v>961.51447804974487</v>
      </c>
      <c r="P18" s="34">
        <f t="shared" si="2"/>
        <v>147328.45252867736</v>
      </c>
      <c r="Q18" s="58">
        <f t="shared" si="3"/>
        <v>12.497968715115716</v>
      </c>
      <c r="R18" s="30">
        <f t="shared" si="4"/>
        <v>7.8131737589067596</v>
      </c>
      <c r="S18" s="56">
        <f t="shared" si="11"/>
        <v>14.884891880407711</v>
      </c>
      <c r="T18" s="35">
        <f t="shared" si="5"/>
        <v>9.3053718804327339</v>
      </c>
      <c r="U18" s="112"/>
      <c r="V18" s="57">
        <f t="shared" si="6"/>
        <v>2030</v>
      </c>
      <c r="W18" s="17">
        <v>29443389.43</v>
      </c>
      <c r="X18" s="17">
        <f t="shared" si="15"/>
        <v>109833202.58635563</v>
      </c>
      <c r="Y18" s="102">
        <f t="shared" si="12"/>
        <v>139276592.01635563</v>
      </c>
      <c r="Z18" s="14"/>
      <c r="AB18" s="42"/>
      <c r="AC18" s="44">
        <v>154.51452436493332</v>
      </c>
      <c r="AD18" s="45"/>
      <c r="AE18" s="45"/>
      <c r="AF18" s="42"/>
      <c r="AG18" s="42"/>
    </row>
    <row r="19" spans="1:33">
      <c r="A19" s="29">
        <f t="shared" si="7"/>
        <v>2031</v>
      </c>
      <c r="B19" s="92">
        <f t="shared" si="8"/>
        <v>0.57807748908583201</v>
      </c>
      <c r="C19" s="34">
        <f>'Fixed Costs - TRC'!L16*1000</f>
        <v>1148078.9736521374</v>
      </c>
      <c r="D19" s="100">
        <v>10852.983989973654</v>
      </c>
      <c r="E19" s="100">
        <v>22980.747652039798</v>
      </c>
      <c r="F19" s="100">
        <v>-19199.525348065807</v>
      </c>
      <c r="G19" s="34">
        <f>'Fixed Costs - TRC'!G16*1000</f>
        <v>3299348.5837593107</v>
      </c>
      <c r="H19" s="38">
        <f t="shared" si="0"/>
        <v>3313982.7900532582</v>
      </c>
      <c r="I19" s="180">
        <f t="shared" si="9"/>
        <v>109833.20258635563</v>
      </c>
      <c r="J19" s="180">
        <f t="shared" si="13"/>
        <v>29443.389429999999</v>
      </c>
      <c r="K19" s="83">
        <v>14250744.92000314</v>
      </c>
      <c r="L19" s="34">
        <f t="shared" si="10"/>
        <v>14390021.512019496</v>
      </c>
      <c r="M19" s="34">
        <f t="shared" si="1"/>
        <v>18852083.275724892</v>
      </c>
      <c r="N19" s="34">
        <f>NEL!B12/1000</f>
        <v>149577.66103711218</v>
      </c>
      <c r="O19" s="34">
        <f t="shared" si="14"/>
        <v>1121.0573027309958</v>
      </c>
      <c r="P19" s="34">
        <f t="shared" si="2"/>
        <v>148456.60373438118</v>
      </c>
      <c r="Q19" s="58">
        <f t="shared" si="3"/>
        <v>12.698716528269145</v>
      </c>
      <c r="R19" s="30">
        <f t="shared" si="4"/>
        <v>7.340842165274581</v>
      </c>
      <c r="S19" s="56">
        <f t="shared" si="11"/>
        <v>14.884891880407711</v>
      </c>
      <c r="T19" s="35">
        <f t="shared" si="5"/>
        <v>8.6046209235401783</v>
      </c>
      <c r="U19" s="112"/>
      <c r="V19" s="57">
        <f t="shared" si="6"/>
        <v>2031</v>
      </c>
      <c r="W19" s="17">
        <v>29443389.43</v>
      </c>
      <c r="X19" s="17">
        <f t="shared" si="15"/>
        <v>109833202.58635563</v>
      </c>
      <c r="Y19" s="102">
        <f t="shared" si="12"/>
        <v>139276592.01635563</v>
      </c>
      <c r="Z19" s="14"/>
      <c r="AB19" s="42"/>
      <c r="AC19" s="47">
        <v>159.54282468125103</v>
      </c>
      <c r="AD19" s="46"/>
      <c r="AE19" s="40"/>
      <c r="AF19" s="43"/>
      <c r="AG19" s="48"/>
    </row>
    <row r="20" spans="1:33">
      <c r="A20" s="29">
        <f t="shared" si="7"/>
        <v>2032</v>
      </c>
      <c r="B20" s="92">
        <f t="shared" si="8"/>
        <v>0.53454474704821819</v>
      </c>
      <c r="C20" s="34">
        <f>'Fixed Costs - TRC'!L17*1000</f>
        <v>895359.96000353119</v>
      </c>
      <c r="D20" s="100">
        <v>11389.087957305404</v>
      </c>
      <c r="E20" s="100">
        <v>24219.10306491251</v>
      </c>
      <c r="F20" s="100">
        <v>-22684.028793460351</v>
      </c>
      <c r="G20" s="34">
        <f>'Fixed Costs - TRC'!G17*1000</f>
        <v>3710646.3980789171</v>
      </c>
      <c r="H20" s="38">
        <f t="shared" si="0"/>
        <v>3723570.5603076746</v>
      </c>
      <c r="I20" s="180">
        <f t="shared" si="9"/>
        <v>109833.20258635563</v>
      </c>
      <c r="J20" s="180">
        <f t="shared" si="13"/>
        <v>29443.389429999999</v>
      </c>
      <c r="K20" s="83">
        <v>14703480.850589929</v>
      </c>
      <c r="L20" s="34">
        <f t="shared" si="10"/>
        <v>14842757.442606285</v>
      </c>
      <c r="M20" s="34">
        <f t="shared" si="1"/>
        <v>19461687.962917492</v>
      </c>
      <c r="N20" s="34">
        <f>NEL!B13/1000</f>
        <v>151677.42700159541</v>
      </c>
      <c r="O20" s="34">
        <f t="shared" si="14"/>
        <v>1284.8775668274977</v>
      </c>
      <c r="P20" s="34">
        <f t="shared" si="2"/>
        <v>150392.54943476792</v>
      </c>
      <c r="Q20" s="58">
        <f t="shared" si="3"/>
        <v>12.940593158412351</v>
      </c>
      <c r="R20" s="30">
        <f t="shared" si="4"/>
        <v>6.9173260965174332</v>
      </c>
      <c r="S20" s="56">
        <f t="shared" si="11"/>
        <v>14.884891880407711</v>
      </c>
      <c r="T20" s="35">
        <f t="shared" si="5"/>
        <v>7.956640765052617</v>
      </c>
      <c r="U20" s="112"/>
      <c r="V20" s="57">
        <f t="shared" si="6"/>
        <v>2032</v>
      </c>
      <c r="W20" s="17">
        <v>29443389.43</v>
      </c>
      <c r="X20" s="17">
        <f t="shared" si="15"/>
        <v>109833202.58635563</v>
      </c>
      <c r="Y20" s="102">
        <f t="shared" si="12"/>
        <v>139276592.01635563</v>
      </c>
      <c r="Z20" s="14"/>
      <c r="AB20" s="42"/>
      <c r="AC20" s="40">
        <v>163.82026409650192</v>
      </c>
      <c r="AD20" s="40"/>
      <c r="AE20" s="40"/>
      <c r="AF20" s="43"/>
      <c r="AG20" s="49"/>
    </row>
    <row r="21" spans="1:33">
      <c r="A21" s="29">
        <f t="shared" si="7"/>
        <v>2033</v>
      </c>
      <c r="B21" s="92">
        <f t="shared" si="8"/>
        <v>0.4942902845926555</v>
      </c>
      <c r="C21" s="34">
        <f>'Fixed Costs - TRC'!L18*1000</f>
        <v>792534.03911457327</v>
      </c>
      <c r="D21" s="100">
        <v>11900.655393323263</v>
      </c>
      <c r="E21" s="100">
        <v>25371.542868350014</v>
      </c>
      <c r="F21" s="100">
        <v>-26087.676625085027</v>
      </c>
      <c r="G21" s="34">
        <f>'Fixed Costs - TRC'!G18*1000</f>
        <v>4075357.0355491643</v>
      </c>
      <c r="H21" s="38">
        <f t="shared" si="0"/>
        <v>4086541.5571857523</v>
      </c>
      <c r="I21" s="180">
        <f t="shared" si="9"/>
        <v>109833.20258635563</v>
      </c>
      <c r="J21" s="180">
        <f t="shared" ref="J21:J41" si="16">W21/1000</f>
        <v>29443.389429999999</v>
      </c>
      <c r="K21" s="83">
        <v>15205712.264756653</v>
      </c>
      <c r="L21" s="34">
        <f t="shared" si="10"/>
        <v>15344988.85677301</v>
      </c>
      <c r="M21" s="34">
        <f t="shared" si="1"/>
        <v>20224064.453073334</v>
      </c>
      <c r="N21" s="34">
        <f>NEL!B14/1000</f>
        <v>153686.05484132862</v>
      </c>
      <c r="O21" s="34">
        <f t="shared" si="14"/>
        <v>1452.0715582363746</v>
      </c>
      <c r="P21" s="34">
        <f t="shared" si="2"/>
        <v>152233.98328309224</v>
      </c>
      <c r="Q21" s="58">
        <f t="shared" si="3"/>
        <v>13.284855337106261</v>
      </c>
      <c r="R21" s="30">
        <f t="shared" si="4"/>
        <v>6.5665749253505119</v>
      </c>
      <c r="S21" s="56">
        <f t="shared" si="11"/>
        <v>14.884891880407711</v>
      </c>
      <c r="T21" s="35">
        <f t="shared" si="5"/>
        <v>7.3574574436976343</v>
      </c>
      <c r="U21" s="112"/>
      <c r="V21" s="57">
        <f t="shared" si="6"/>
        <v>2033</v>
      </c>
      <c r="W21" s="17">
        <v>29443389.43</v>
      </c>
      <c r="X21" s="17">
        <f t="shared" si="15"/>
        <v>109833202.58635563</v>
      </c>
      <c r="Y21" s="102">
        <f t="shared" si="12"/>
        <v>139276592.01635563</v>
      </c>
      <c r="Z21" s="14"/>
      <c r="AB21" s="42"/>
      <c r="AC21" s="40">
        <v>167.19399140887674</v>
      </c>
      <c r="AD21" s="40"/>
      <c r="AE21" s="40"/>
      <c r="AF21" s="40"/>
      <c r="AG21" s="40"/>
    </row>
    <row r="22" spans="1:33">
      <c r="A22" s="29">
        <f t="shared" si="7"/>
        <v>2034</v>
      </c>
      <c r="B22" s="92">
        <f t="shared" si="8"/>
        <v>0.45706722737778471</v>
      </c>
      <c r="C22" s="34">
        <f>'Fixed Costs - TRC'!L19*1000</f>
        <v>865796.90270077961</v>
      </c>
      <c r="D22" s="100">
        <v>14885.984062690981</v>
      </c>
      <c r="E22" s="100">
        <v>27611.818467154764</v>
      </c>
      <c r="F22" s="100">
        <v>-25432.597896809635</v>
      </c>
      <c r="G22" s="34">
        <f>'Fixed Costs - TRC'!G19*1000</f>
        <v>4562127.7092552232</v>
      </c>
      <c r="H22" s="38">
        <f t="shared" si="0"/>
        <v>4579192.9138882589</v>
      </c>
      <c r="I22" s="180">
        <f t="shared" si="9"/>
        <v>109833.20258635563</v>
      </c>
      <c r="J22" s="180">
        <f t="shared" si="16"/>
        <v>29443.389429999999</v>
      </c>
      <c r="K22" s="83">
        <v>15755980.331482695</v>
      </c>
      <c r="L22" s="34">
        <f t="shared" si="10"/>
        <v>15895256.923499051</v>
      </c>
      <c r="M22" s="34">
        <f t="shared" si="1"/>
        <v>21340246.74008809</v>
      </c>
      <c r="N22" s="34">
        <f>NEL!B15/1000</f>
        <v>155677.52606339942</v>
      </c>
      <c r="O22" s="34">
        <f t="shared" si="14"/>
        <v>1621.8715728488239</v>
      </c>
      <c r="P22" s="34">
        <f t="shared" si="2"/>
        <v>154055.6544905506</v>
      </c>
      <c r="Q22" s="58">
        <f t="shared" si="3"/>
        <v>13.852296957653735</v>
      </c>
      <c r="R22" s="30">
        <f t="shared" si="4"/>
        <v>6.3314309632485148</v>
      </c>
      <c r="S22" s="56">
        <f t="shared" si="11"/>
        <v>14.884891880407711</v>
      </c>
      <c r="T22" s="35">
        <f t="shared" si="5"/>
        <v>6.8033962615960526</v>
      </c>
      <c r="U22" s="112"/>
      <c r="V22" s="57">
        <f t="shared" si="6"/>
        <v>2034</v>
      </c>
      <c r="W22" s="17">
        <v>29443389.43</v>
      </c>
      <c r="X22" s="17">
        <f t="shared" si="15"/>
        <v>109833202.58635563</v>
      </c>
      <c r="Y22" s="102">
        <f t="shared" si="12"/>
        <v>139276592.01635563</v>
      </c>
      <c r="Z22" s="14"/>
      <c r="AC22" s="4">
        <v>169.80001461244933</v>
      </c>
    </row>
    <row r="23" spans="1:33">
      <c r="A23" s="29">
        <f t="shared" si="7"/>
        <v>2035</v>
      </c>
      <c r="B23" s="92">
        <f t="shared" si="8"/>
        <v>0.42264729219790065</v>
      </c>
      <c r="C23" s="34">
        <f>'Fixed Costs - TRC'!L20*1000</f>
        <v>1249218.9891062789</v>
      </c>
      <c r="D23" s="100">
        <v>4733.6988608166184</v>
      </c>
      <c r="E23" s="100">
        <v>9872.7276795281341</v>
      </c>
      <c r="F23" s="100">
        <v>-24786.12792250852</v>
      </c>
      <c r="G23" s="34">
        <f>'Fixed Costs - TRC'!G20*1000</f>
        <v>4400608.1562309284</v>
      </c>
      <c r="H23" s="38">
        <f t="shared" si="0"/>
        <v>4390428.4548487645</v>
      </c>
      <c r="I23" s="180">
        <f t="shared" si="9"/>
        <v>109833.20258635563</v>
      </c>
      <c r="J23" s="180">
        <f t="shared" si="16"/>
        <v>29443.389429999999</v>
      </c>
      <c r="K23" s="83">
        <v>16345144.779350987</v>
      </c>
      <c r="L23" s="34">
        <f t="shared" si="10"/>
        <v>16484421.371367343</v>
      </c>
      <c r="M23" s="34">
        <f t="shared" si="1"/>
        <v>22124068.815322384</v>
      </c>
      <c r="N23" s="34">
        <f>NEL!B16/1000</f>
        <v>157715.25018778408</v>
      </c>
      <c r="O23" s="34">
        <f t="shared" ref="O23:O58" si="17">O22</f>
        <v>1621.8715728488239</v>
      </c>
      <c r="P23" s="34">
        <f t="shared" si="2"/>
        <v>156093.37861493527</v>
      </c>
      <c r="Q23" s="116">
        <f t="shared" si="3"/>
        <v>14.173611341900648</v>
      </c>
      <c r="R23" s="30">
        <f t="shared" si="4"/>
        <v>5.9904384543197615</v>
      </c>
      <c r="S23" s="56">
        <f t="shared" si="11"/>
        <v>14.884891880407711</v>
      </c>
      <c r="T23" s="35">
        <f t="shared" si="5"/>
        <v>6.2910592479128367</v>
      </c>
      <c r="U23" s="112"/>
      <c r="V23" s="57">
        <f t="shared" si="6"/>
        <v>2035</v>
      </c>
      <c r="W23" s="17">
        <v>29443389.43</v>
      </c>
      <c r="X23" s="17">
        <f t="shared" si="15"/>
        <v>109833202.58635563</v>
      </c>
      <c r="Y23" s="102">
        <f t="shared" si="12"/>
        <v>139276592.01635563</v>
      </c>
      <c r="Z23" s="14"/>
    </row>
    <row r="24" spans="1:33">
      <c r="A24" s="29">
        <f t="shared" si="7"/>
        <v>2036</v>
      </c>
      <c r="B24" s="92">
        <f t="shared" si="8"/>
        <v>0.39081938695764779</v>
      </c>
      <c r="C24" s="34">
        <f>'Fixed Costs - TRC'!L21*1000</f>
        <v>1737041.8985059268</v>
      </c>
      <c r="D24" s="100">
        <v>4956.7854687631288</v>
      </c>
      <c r="E24" s="100">
        <v>10053.518972552643</v>
      </c>
      <c r="F24" s="100">
        <v>-24161.472416135424</v>
      </c>
      <c r="G24" s="34">
        <f>'Fixed Costs - TRC'!G21*1000</f>
        <v>4224492.6113929711</v>
      </c>
      <c r="H24" s="38">
        <f t="shared" si="0"/>
        <v>4215341.4434181517</v>
      </c>
      <c r="I24" s="180">
        <f t="shared" si="9"/>
        <v>109833.20258635563</v>
      </c>
      <c r="J24" s="180">
        <f t="shared" si="16"/>
        <v>29443.389429999999</v>
      </c>
      <c r="K24" s="83">
        <v>16968234.853518717</v>
      </c>
      <c r="L24" s="34">
        <f t="shared" si="10"/>
        <v>17107511.445535071</v>
      </c>
      <c r="M24" s="34">
        <f t="shared" si="1"/>
        <v>23059894.78745915</v>
      </c>
      <c r="N24" s="34">
        <f>NEL!B17/1000</f>
        <v>159678.55276802424</v>
      </c>
      <c r="O24" s="34">
        <f t="shared" si="17"/>
        <v>1621.8715728488239</v>
      </c>
      <c r="P24" s="34">
        <f t="shared" si="2"/>
        <v>158056.68119517542</v>
      </c>
      <c r="Q24" s="116">
        <f t="shared" si="3"/>
        <v>14.589636207142529</v>
      </c>
      <c r="R24" s="30">
        <f t="shared" si="4"/>
        <v>5.7019126784105447</v>
      </c>
      <c r="S24" s="56">
        <f t="shared" si="11"/>
        <v>14.884891880407711</v>
      </c>
      <c r="T24" s="35">
        <f t="shared" si="5"/>
        <v>5.8173043196318108</v>
      </c>
      <c r="U24" s="112"/>
      <c r="V24" s="57">
        <f t="shared" si="6"/>
        <v>2036</v>
      </c>
      <c r="W24" s="17">
        <v>29443389.43</v>
      </c>
      <c r="X24" s="17">
        <f t="shared" si="15"/>
        <v>109833202.58635563</v>
      </c>
      <c r="Y24" s="102">
        <f t="shared" si="12"/>
        <v>139276592.01635563</v>
      </c>
      <c r="Z24" s="14"/>
    </row>
    <row r="25" spans="1:33">
      <c r="A25" s="29">
        <f t="shared" si="7"/>
        <v>2037</v>
      </c>
      <c r="B25" s="92">
        <f t="shared" si="8"/>
        <v>0.3613883160771148</v>
      </c>
      <c r="C25" s="34">
        <f>'Fixed Costs - TRC'!L22*1000</f>
        <v>2298608.4670462534</v>
      </c>
      <c r="D25" s="100">
        <v>4747.8169462870919</v>
      </c>
      <c r="E25" s="100">
        <v>10072.608352757275</v>
      </c>
      <c r="F25" s="100">
        <v>-23553.171254084398</v>
      </c>
      <c r="G25" s="34">
        <f>'Fixed Costs - TRC'!G22*1000</f>
        <v>4210162.9378509475</v>
      </c>
      <c r="H25" s="38">
        <f t="shared" si="0"/>
        <v>4201430.1918959077</v>
      </c>
      <c r="I25" s="180">
        <f t="shared" si="9"/>
        <v>109833.20258635563</v>
      </c>
      <c r="J25" s="180">
        <f t="shared" si="16"/>
        <v>29443.389429999999</v>
      </c>
      <c r="K25" s="83">
        <v>17609372.300392464</v>
      </c>
      <c r="L25" s="34">
        <f t="shared" si="10"/>
        <v>17748648.892408818</v>
      </c>
      <c r="M25" s="34">
        <f t="shared" si="1"/>
        <v>24248687.551350981</v>
      </c>
      <c r="N25" s="34">
        <f>NEL!B18/1000</f>
        <v>161501.51323125177</v>
      </c>
      <c r="O25" s="34">
        <f t="shared" si="17"/>
        <v>1621.8715728488239</v>
      </c>
      <c r="P25" s="34">
        <f t="shared" si="2"/>
        <v>159879.64165840295</v>
      </c>
      <c r="Q25" s="116">
        <f t="shared" si="3"/>
        <v>15.166838816889804</v>
      </c>
      <c r="R25" s="30">
        <f t="shared" si="4"/>
        <v>5.4811183402488268</v>
      </c>
      <c r="S25" s="56">
        <f t="shared" si="11"/>
        <v>14.884891880407711</v>
      </c>
      <c r="T25" s="35">
        <f t="shared" si="5"/>
        <v>5.3792260116504611</v>
      </c>
      <c r="U25" s="112"/>
      <c r="V25" s="57">
        <f t="shared" si="6"/>
        <v>2037</v>
      </c>
      <c r="W25" s="17">
        <v>29443389.43</v>
      </c>
      <c r="X25" s="17">
        <f t="shared" si="15"/>
        <v>109833202.58635563</v>
      </c>
      <c r="Y25" s="102">
        <f t="shared" si="12"/>
        <v>139276592.01635563</v>
      </c>
      <c r="Z25" s="14"/>
    </row>
    <row r="26" spans="1:33">
      <c r="A26" s="29">
        <f t="shared" si="7"/>
        <v>2038</v>
      </c>
      <c r="B26" s="92">
        <f t="shared" si="8"/>
        <v>0.33417358338778019</v>
      </c>
      <c r="C26" s="34">
        <f>'Fixed Costs - TRC'!L23*1000</f>
        <v>2912004.911464361</v>
      </c>
      <c r="D26" s="100">
        <v>4553.9398860102374</v>
      </c>
      <c r="E26" s="100">
        <v>10092.967314978605</v>
      </c>
      <c r="F26" s="100">
        <v>-22956.137671517714</v>
      </c>
      <c r="G26" s="34">
        <f>'Fixed Costs - TRC'!G23*1000</f>
        <v>4510204.5497817947</v>
      </c>
      <c r="H26" s="38">
        <f t="shared" si="0"/>
        <v>4501895.3193112658</v>
      </c>
      <c r="I26" s="180">
        <f t="shared" si="9"/>
        <v>109833.20258635563</v>
      </c>
      <c r="J26" s="180">
        <f t="shared" si="16"/>
        <v>29443.389429999999</v>
      </c>
      <c r="K26" s="83">
        <v>18263728.403979845</v>
      </c>
      <c r="L26" s="34">
        <f t="shared" si="10"/>
        <v>18403004.9959962</v>
      </c>
      <c r="M26" s="34">
        <f t="shared" si="1"/>
        <v>25816905.226771824</v>
      </c>
      <c r="N26" s="34">
        <f>NEL!B19/1000</f>
        <v>163154.1174881566</v>
      </c>
      <c r="O26" s="34">
        <f t="shared" si="17"/>
        <v>1621.8715728488239</v>
      </c>
      <c r="P26" s="34">
        <f t="shared" si="2"/>
        <v>161532.24591530778</v>
      </c>
      <c r="Q26" s="116">
        <f t="shared" si="3"/>
        <v>15.982508681460274</v>
      </c>
      <c r="R26" s="30">
        <f t="shared" si="4"/>
        <v>5.3409321976098854</v>
      </c>
      <c r="S26" s="56">
        <f t="shared" si="11"/>
        <v>14.884891880407711</v>
      </c>
      <c r="T26" s="35">
        <f t="shared" si="5"/>
        <v>4.9741376580155183</v>
      </c>
      <c r="U26" s="112"/>
      <c r="V26" s="57">
        <f t="shared" si="6"/>
        <v>2038</v>
      </c>
      <c r="W26" s="17">
        <v>29443389.43</v>
      </c>
      <c r="X26" s="17">
        <f t="shared" si="15"/>
        <v>109833202.58635563</v>
      </c>
      <c r="Y26" s="102">
        <f t="shared" si="12"/>
        <v>139276592.01635563</v>
      </c>
      <c r="Z26" s="14"/>
      <c r="AC26" s="11"/>
      <c r="AD26" s="11"/>
    </row>
    <row r="27" spans="1:33">
      <c r="A27" s="29">
        <f t="shared" si="7"/>
        <v>2039</v>
      </c>
      <c r="B27" s="92">
        <f t="shared" si="8"/>
        <v>0.30900828517765516</v>
      </c>
      <c r="C27" s="34">
        <f>'Fixed Costs - TRC'!L24*1000</f>
        <v>3512283.8180279443</v>
      </c>
      <c r="D27" s="100">
        <v>4418.3665332437822</v>
      </c>
      <c r="E27" s="100">
        <v>10126.092010380189</v>
      </c>
      <c r="F27" s="100">
        <v>-22365.572866974842</v>
      </c>
      <c r="G27" s="34">
        <f>'Fixed Costs - TRC'!G24*1000</f>
        <v>4483381.0861053439</v>
      </c>
      <c r="H27" s="38">
        <f t="shared" si="0"/>
        <v>4475559.9717819933</v>
      </c>
      <c r="I27" s="180">
        <f t="shared" si="9"/>
        <v>109833.20258635563</v>
      </c>
      <c r="J27" s="180">
        <f t="shared" si="16"/>
        <v>29443.389429999999</v>
      </c>
      <c r="K27" s="83">
        <v>18925302.381772649</v>
      </c>
      <c r="L27" s="34">
        <f t="shared" si="10"/>
        <v>19064578.973789003</v>
      </c>
      <c r="M27" s="34">
        <f t="shared" si="1"/>
        <v>27052422.763598941</v>
      </c>
      <c r="N27" s="34">
        <f>NEL!B20/1000</f>
        <v>164626.97309057534</v>
      </c>
      <c r="O27" s="34">
        <f t="shared" si="17"/>
        <v>1621.8715728488239</v>
      </c>
      <c r="P27" s="34">
        <f t="shared" si="2"/>
        <v>163005.10151772652</v>
      </c>
      <c r="Q27" s="116">
        <f t="shared" si="3"/>
        <v>16.596058964852112</v>
      </c>
      <c r="R27" s="30">
        <f t="shared" si="4"/>
        <v>5.1283197214362017</v>
      </c>
      <c r="S27" s="56">
        <f t="shared" si="11"/>
        <v>14.884891880407711</v>
      </c>
      <c r="T27" s="35">
        <f t="shared" si="5"/>
        <v>4.5995549150195894</v>
      </c>
      <c r="U27" s="112"/>
      <c r="V27" s="57">
        <f t="shared" si="6"/>
        <v>2039</v>
      </c>
      <c r="W27" s="17">
        <v>29443389.43</v>
      </c>
      <c r="X27" s="17">
        <f t="shared" si="15"/>
        <v>109833202.58635563</v>
      </c>
      <c r="Y27" s="102">
        <f t="shared" si="12"/>
        <v>139276592.01635563</v>
      </c>
      <c r="Z27" s="14"/>
      <c r="AC27" s="11"/>
      <c r="AD27" s="11"/>
    </row>
    <row r="28" spans="1:33">
      <c r="A28" s="29">
        <f t="shared" si="7"/>
        <v>2040</v>
      </c>
      <c r="B28" s="92">
        <f t="shared" si="8"/>
        <v>0.28573808659684358</v>
      </c>
      <c r="C28" s="34">
        <f>'Fixed Costs - TRC'!L25*1000</f>
        <v>4239090.8926517423</v>
      </c>
      <c r="D28" s="100">
        <v>5263.4783745655341</v>
      </c>
      <c r="E28" s="100">
        <v>11320.721316165842</v>
      </c>
      <c r="F28" s="100">
        <v>-21778.030934625029</v>
      </c>
      <c r="G28" s="34">
        <f>'Fixed Costs - TRC'!G25*1000</f>
        <v>4494019.0523681613</v>
      </c>
      <c r="H28" s="38">
        <f t="shared" si="0"/>
        <v>4488825.2211242672</v>
      </c>
      <c r="I28" s="180">
        <f t="shared" si="9"/>
        <v>109833.20258635563</v>
      </c>
      <c r="J28" s="180">
        <f t="shared" si="16"/>
        <v>29443.389429999999</v>
      </c>
      <c r="K28" s="83">
        <v>19602342.072269935</v>
      </c>
      <c r="L28" s="34">
        <f t="shared" si="10"/>
        <v>19741618.664286289</v>
      </c>
      <c r="M28" s="34">
        <f t="shared" si="1"/>
        <v>28469534.778062299</v>
      </c>
      <c r="N28" s="34">
        <f>NEL!B21/1000</f>
        <v>165934.75901036451</v>
      </c>
      <c r="O28" s="34">
        <f t="shared" si="17"/>
        <v>1621.8715728488239</v>
      </c>
      <c r="P28" s="34">
        <f t="shared" si="2"/>
        <v>164312.88743751569</v>
      </c>
      <c r="Q28" s="116">
        <f t="shared" si="3"/>
        <v>17.326416218501784</v>
      </c>
      <c r="R28" s="30">
        <f t="shared" si="4"/>
        <v>4.9508170178552175</v>
      </c>
      <c r="S28" s="56">
        <f t="shared" si="11"/>
        <v>14.884891880407711</v>
      </c>
      <c r="T28" s="35">
        <f t="shared" si="5"/>
        <v>4.2531805251085926</v>
      </c>
      <c r="U28" s="112"/>
      <c r="V28" s="57">
        <f t="shared" si="6"/>
        <v>2040</v>
      </c>
      <c r="W28" s="17">
        <v>29443389.43</v>
      </c>
      <c r="X28" s="17">
        <f t="shared" si="15"/>
        <v>109833202.58635563</v>
      </c>
      <c r="Y28" s="102">
        <f t="shared" si="12"/>
        <v>139276592.01635563</v>
      </c>
      <c r="Z28" s="14"/>
      <c r="AC28" s="11"/>
      <c r="AD28" s="11"/>
    </row>
    <row r="29" spans="1:33">
      <c r="A29" s="29">
        <f t="shared" si="7"/>
        <v>2041</v>
      </c>
      <c r="B29" s="92">
        <f t="shared" si="8"/>
        <v>0.26422027514597279</v>
      </c>
      <c r="C29" s="34">
        <f>'Fixed Costs - TRC'!L26*1000</f>
        <v>4813004.4176627435</v>
      </c>
      <c r="D29" s="100">
        <v>5488.4230216386813</v>
      </c>
      <c r="E29" s="100">
        <v>11399.693128302033</v>
      </c>
      <c r="F29" s="100">
        <v>-21199.829073064047</v>
      </c>
      <c r="G29" s="34">
        <f>'Fixed Costs - TRC'!G26*1000</f>
        <v>4531120.8575134296</v>
      </c>
      <c r="H29" s="38">
        <f t="shared" si="0"/>
        <v>4526809.1445903061</v>
      </c>
      <c r="I29" s="180">
        <f t="shared" si="9"/>
        <v>109833.20258635563</v>
      </c>
      <c r="J29" s="180">
        <f t="shared" si="16"/>
        <v>29443.389429999999</v>
      </c>
      <c r="K29" s="83">
        <v>19999891.722335413</v>
      </c>
      <c r="L29" s="34">
        <f t="shared" si="10"/>
        <v>20139168.314351767</v>
      </c>
      <c r="M29" s="34">
        <f t="shared" si="1"/>
        <v>29478981.876604818</v>
      </c>
      <c r="N29" s="34">
        <f>NEL!B22/1000</f>
        <v>164918.52822270812</v>
      </c>
      <c r="O29" s="34">
        <f t="shared" si="17"/>
        <v>1621.8715728488239</v>
      </c>
      <c r="P29" s="34">
        <f t="shared" si="2"/>
        <v>163296.6566498593</v>
      </c>
      <c r="Q29" s="116">
        <f t="shared" si="3"/>
        <v>18.052409939913009</v>
      </c>
      <c r="R29" s="30">
        <f t="shared" si="4"/>
        <v>4.769812721371709</v>
      </c>
      <c r="S29" s="56">
        <f t="shared" si="11"/>
        <v>14.884891880407711</v>
      </c>
      <c r="T29" s="35">
        <f t="shared" si="5"/>
        <v>3.9328902281593816</v>
      </c>
      <c r="U29" s="112"/>
      <c r="V29" s="57">
        <f t="shared" si="6"/>
        <v>2041</v>
      </c>
      <c r="W29" s="17">
        <v>29443389.43</v>
      </c>
      <c r="X29" s="17">
        <f t="shared" si="15"/>
        <v>109833202.58635563</v>
      </c>
      <c r="Y29" s="102">
        <f t="shared" si="12"/>
        <v>139276592.01635563</v>
      </c>
      <c r="Z29" s="14"/>
      <c r="AC29" s="11"/>
      <c r="AD29" s="11"/>
    </row>
    <row r="30" spans="1:33">
      <c r="A30" s="29">
        <f t="shared" si="7"/>
        <v>2042</v>
      </c>
      <c r="B30" s="92">
        <f t="shared" si="8"/>
        <v>0.24432288544268835</v>
      </c>
      <c r="C30" s="34">
        <f>'Fixed Costs - TRC'!L27*1000</f>
        <v>5462500.494386672</v>
      </c>
      <c r="D30" s="100">
        <v>8841.8527081745851</v>
      </c>
      <c r="E30" s="100">
        <v>21004.332182314931</v>
      </c>
      <c r="F30" s="100">
        <v>-20646.140054928794</v>
      </c>
      <c r="G30" s="34">
        <f>'Fixed Costs - TRC'!G27*1000</f>
        <v>4523298.9677619878</v>
      </c>
      <c r="H30" s="38">
        <f t="shared" si="0"/>
        <v>4532499.0125975488</v>
      </c>
      <c r="I30" s="180">
        <f t="shared" si="9"/>
        <v>109833.20258635563</v>
      </c>
      <c r="J30" s="180">
        <f t="shared" si="16"/>
        <v>29443.389429999999</v>
      </c>
      <c r="K30" s="83">
        <v>20430952.528708454</v>
      </c>
      <c r="L30" s="34">
        <f t="shared" si="10"/>
        <v>20570229.120724808</v>
      </c>
      <c r="M30" s="34">
        <f t="shared" si="1"/>
        <v>30565228.627709031</v>
      </c>
      <c r="N30" s="34">
        <f>NEL!B23/1000</f>
        <v>166510.76719574467</v>
      </c>
      <c r="O30" s="34">
        <f t="shared" si="17"/>
        <v>1621.8715728488239</v>
      </c>
      <c r="P30" s="34">
        <f t="shared" si="2"/>
        <v>164888.89562289586</v>
      </c>
      <c r="Q30" s="116">
        <f t="shared" si="3"/>
        <v>18.536862965964858</v>
      </c>
      <c r="R30" s="30">
        <f t="shared" si="4"/>
        <v>4.5289798469002438</v>
      </c>
      <c r="S30" s="56">
        <f t="shared" si="11"/>
        <v>14.884891880407711</v>
      </c>
      <c r="T30" s="35">
        <f t="shared" si="5"/>
        <v>3.636719733723655</v>
      </c>
      <c r="U30" s="112"/>
      <c r="V30" s="57">
        <f t="shared" si="6"/>
        <v>2042</v>
      </c>
      <c r="W30" s="17">
        <v>29443389.43</v>
      </c>
      <c r="X30" s="17">
        <f t="shared" si="15"/>
        <v>109833202.58635563</v>
      </c>
      <c r="Y30" s="102">
        <f t="shared" si="12"/>
        <v>139276592.01635563</v>
      </c>
      <c r="Z30" s="14"/>
      <c r="AC30" s="11"/>
      <c r="AD30" s="11"/>
    </row>
    <row r="31" spans="1:33">
      <c r="A31" s="29">
        <f t="shared" si="7"/>
        <v>2043</v>
      </c>
      <c r="B31" s="92">
        <f t="shared" si="8"/>
        <v>0.22592388989854117</v>
      </c>
      <c r="C31" s="34">
        <f>'Fixed Costs - TRC'!L28*1000</f>
        <v>6158484.6548417797</v>
      </c>
      <c r="D31" s="100">
        <v>12549.393476848532</v>
      </c>
      <c r="E31" s="100">
        <v>22818.811717973855</v>
      </c>
      <c r="F31" s="100">
        <v>-20125.231785330703</v>
      </c>
      <c r="G31" s="34">
        <f>'Fixed Costs - TRC'!G28*1000</f>
        <v>4398994.0475120507</v>
      </c>
      <c r="H31" s="38">
        <f t="shared" si="0"/>
        <v>4414237.0209215423</v>
      </c>
      <c r="I31" s="180">
        <f t="shared" si="9"/>
        <v>109833.20258635563</v>
      </c>
      <c r="J31" s="180">
        <f t="shared" si="16"/>
        <v>29443.389429999999</v>
      </c>
      <c r="K31" s="83">
        <v>20868865.153961189</v>
      </c>
      <c r="L31" s="34">
        <f t="shared" si="10"/>
        <v>21008141.745977543</v>
      </c>
      <c r="M31" s="34">
        <f t="shared" si="1"/>
        <v>31580863.421740867</v>
      </c>
      <c r="N31" s="34">
        <f>NEL!B24/1000</f>
        <v>168119.10276074152</v>
      </c>
      <c r="O31" s="34">
        <f t="shared" si="17"/>
        <v>1621.8715728488239</v>
      </c>
      <c r="P31" s="34">
        <f t="shared" si="2"/>
        <v>166497.2311878927</v>
      </c>
      <c r="Q31" s="116">
        <f t="shared" si="3"/>
        <v>18.967800963669934</v>
      </c>
      <c r="R31" s="30">
        <f t="shared" si="4"/>
        <v>4.2852793765336097</v>
      </c>
      <c r="S31" s="56">
        <f t="shared" si="11"/>
        <v>14.884891880407711</v>
      </c>
      <c r="T31" s="35">
        <f t="shared" si="5"/>
        <v>3.3628526743409211</v>
      </c>
      <c r="U31" s="112"/>
      <c r="V31" s="57">
        <f t="shared" si="6"/>
        <v>2043</v>
      </c>
      <c r="W31" s="17">
        <v>29443389.43</v>
      </c>
      <c r="X31" s="17">
        <f t="shared" si="15"/>
        <v>109833202.58635563</v>
      </c>
      <c r="Y31" s="102">
        <f t="shared" si="12"/>
        <v>139276592.01635563</v>
      </c>
      <c r="Z31" s="14"/>
      <c r="AC31" s="11"/>
      <c r="AD31" s="11"/>
    </row>
    <row r="32" spans="1:33">
      <c r="A32" s="29">
        <f t="shared" si="7"/>
        <v>2044</v>
      </c>
      <c r="B32" s="92">
        <f t="shared" si="8"/>
        <v>0.20891045034281555</v>
      </c>
      <c r="C32" s="34">
        <f>'Fixed Costs - TRC'!L29*1000</f>
        <v>6779633.4437766634</v>
      </c>
      <c r="D32" s="100">
        <v>9609.2287954541116</v>
      </c>
      <c r="E32" s="100">
        <v>22009.279872668987</v>
      </c>
      <c r="F32" s="100">
        <v>-19638.40554567688</v>
      </c>
      <c r="G32" s="34">
        <f>'Fixed Costs - TRC'!G29*1000</f>
        <v>4479708.4657516489</v>
      </c>
      <c r="H32" s="38">
        <f t="shared" si="0"/>
        <v>4491688.5688740946</v>
      </c>
      <c r="I32" s="180">
        <f t="shared" si="9"/>
        <v>109833.20258635563</v>
      </c>
      <c r="J32" s="180">
        <f t="shared" si="16"/>
        <v>29443.389429999999</v>
      </c>
      <c r="K32" s="83">
        <v>21313734.632471275</v>
      </c>
      <c r="L32" s="34">
        <f t="shared" si="10"/>
        <v>21453011.224487629</v>
      </c>
      <c r="M32" s="34">
        <f t="shared" si="1"/>
        <v>32724333.237138387</v>
      </c>
      <c r="N32" s="34">
        <f>NEL!B25/1000</f>
        <v>169743.69938976341</v>
      </c>
      <c r="O32" s="34">
        <f t="shared" si="17"/>
        <v>1621.8715728488239</v>
      </c>
      <c r="P32" s="34">
        <f t="shared" si="2"/>
        <v>168121.82781691459</v>
      </c>
      <c r="Q32" s="116">
        <f t="shared" si="3"/>
        <v>19.464654686466609</v>
      </c>
      <c r="R32" s="30">
        <f t="shared" si="4"/>
        <v>4.0663697763171349</v>
      </c>
      <c r="S32" s="56">
        <f t="shared" si="11"/>
        <v>14.884891880407711</v>
      </c>
      <c r="T32" s="35">
        <f t="shared" si="5"/>
        <v>3.1096094660400935</v>
      </c>
      <c r="U32" s="112"/>
      <c r="V32" s="57">
        <f t="shared" si="6"/>
        <v>2044</v>
      </c>
      <c r="W32" s="17">
        <v>29443389.43</v>
      </c>
      <c r="X32" s="17">
        <f t="shared" si="15"/>
        <v>109833202.58635563</v>
      </c>
      <c r="Y32" s="102">
        <f t="shared" si="12"/>
        <v>139276592.01635563</v>
      </c>
      <c r="Z32" s="14"/>
      <c r="AC32" s="11"/>
      <c r="AD32" s="11"/>
    </row>
    <row r="33" spans="1:30">
      <c r="A33" s="29">
        <f t="shared" si="7"/>
        <v>2045</v>
      </c>
      <c r="B33" s="92">
        <f t="shared" si="8"/>
        <v>0.19317822600362289</v>
      </c>
      <c r="C33" s="34">
        <f>'Fixed Costs - TRC'!L30*1000</f>
        <v>7405588.3930453975</v>
      </c>
      <c r="D33" s="100">
        <v>13064.03689211659</v>
      </c>
      <c r="E33" s="100">
        <v>24243.623833303125</v>
      </c>
      <c r="F33" s="100">
        <v>-19187.212213250346</v>
      </c>
      <c r="G33" s="34">
        <f>'Fixed Costs - TRC'!G30*1000</f>
        <v>4446179.9569625799</v>
      </c>
      <c r="H33" s="38">
        <f t="shared" si="0"/>
        <v>4464300.4054747494</v>
      </c>
      <c r="I33" s="180">
        <f t="shared" si="9"/>
        <v>109833.20258635563</v>
      </c>
      <c r="J33" s="180">
        <f t="shared" si="16"/>
        <v>29443.389429999999</v>
      </c>
      <c r="K33" s="83">
        <v>21765667.715793397</v>
      </c>
      <c r="L33" s="34">
        <f t="shared" si="10"/>
        <v>21904944.307809751</v>
      </c>
      <c r="M33" s="34">
        <f t="shared" si="1"/>
        <v>33774833.106329903</v>
      </c>
      <c r="N33" s="34">
        <f>NEL!B26/1000</f>
        <v>171384.72323944248</v>
      </c>
      <c r="O33" s="34">
        <f t="shared" si="17"/>
        <v>1621.8715728488239</v>
      </c>
      <c r="P33" s="34">
        <f t="shared" si="2"/>
        <v>169762.85166659366</v>
      </c>
      <c r="Q33" s="116">
        <f t="shared" si="3"/>
        <v>19.895302638213277</v>
      </c>
      <c r="R33" s="30">
        <f t="shared" si="4"/>
        <v>3.8433392694552393</v>
      </c>
      <c r="S33" s="56">
        <f t="shared" si="11"/>
        <v>14.884891880407711</v>
      </c>
      <c r="T33" s="35">
        <f t="shared" si="5"/>
        <v>2.8754370077128919</v>
      </c>
      <c r="U33" s="112"/>
      <c r="V33" s="57">
        <f t="shared" si="6"/>
        <v>2045</v>
      </c>
      <c r="W33" s="17">
        <v>29443389.43</v>
      </c>
      <c r="X33" s="17">
        <f t="shared" si="15"/>
        <v>109833202.58635563</v>
      </c>
      <c r="Y33" s="102">
        <f t="shared" si="12"/>
        <v>139276592.01635563</v>
      </c>
      <c r="Z33" s="14"/>
      <c r="AC33" s="11"/>
      <c r="AD33" s="11"/>
    </row>
    <row r="34" spans="1:30">
      <c r="A34" s="29">
        <f t="shared" si="7"/>
        <v>2046</v>
      </c>
      <c r="B34" s="92">
        <f t="shared" si="8"/>
        <v>0.17863073360221762</v>
      </c>
      <c r="C34" s="34">
        <f>'Fixed Costs - TRC'!L31*1000</f>
        <v>7814332.8439975362</v>
      </c>
      <c r="D34" s="100">
        <v>13221.192700778127</v>
      </c>
      <c r="E34" s="100">
        <v>24468.647471003391</v>
      </c>
      <c r="F34" s="100">
        <v>-18773.389066281572</v>
      </c>
      <c r="G34" s="34">
        <f>'Fixed Costs - TRC'!G31*1000</f>
        <v>4337729.703868865</v>
      </c>
      <c r="H34" s="38">
        <f t="shared" si="0"/>
        <v>4356646.1549743647</v>
      </c>
      <c r="I34" s="180">
        <f t="shared" si="9"/>
        <v>109833.20258635563</v>
      </c>
      <c r="J34" s="180">
        <f t="shared" si="16"/>
        <v>29443.389429999999</v>
      </c>
      <c r="K34" s="83">
        <v>22224772.882065356</v>
      </c>
      <c r="L34" s="34">
        <f t="shared" si="10"/>
        <v>22364049.47408171</v>
      </c>
      <c r="M34" s="34">
        <f t="shared" si="1"/>
        <v>34535028.473053612</v>
      </c>
      <c r="N34" s="34">
        <f>NEL!B27/1000</f>
        <v>173042.34216823126</v>
      </c>
      <c r="O34" s="34">
        <f t="shared" si="17"/>
        <v>1621.8715728488239</v>
      </c>
      <c r="P34" s="34">
        <f t="shared" si="2"/>
        <v>171420.47059538245</v>
      </c>
      <c r="Q34" s="116">
        <f t="shared" si="3"/>
        <v>20.146385290569775</v>
      </c>
      <c r="R34" s="30">
        <f t="shared" si="4"/>
        <v>3.598763583887405</v>
      </c>
      <c r="S34" s="56">
        <f t="shared" si="11"/>
        <v>14.884891880407711</v>
      </c>
      <c r="T34" s="35">
        <f t="shared" si="5"/>
        <v>2.658899156186922</v>
      </c>
      <c r="U34" s="112"/>
      <c r="V34" s="57">
        <f t="shared" si="6"/>
        <v>2046</v>
      </c>
      <c r="W34" s="17">
        <v>29443389.43</v>
      </c>
      <c r="X34" s="17">
        <f t="shared" si="15"/>
        <v>109833202.58635563</v>
      </c>
      <c r="Y34" s="102">
        <f t="shared" si="12"/>
        <v>139276592.01635563</v>
      </c>
      <c r="Z34" s="14"/>
      <c r="AC34" s="11"/>
      <c r="AD34" s="11"/>
    </row>
    <row r="35" spans="1:30">
      <c r="A35" s="29">
        <f t="shared" si="7"/>
        <v>2047</v>
      </c>
      <c r="B35" s="92">
        <f t="shared" si="8"/>
        <v>0.16517875563609336</v>
      </c>
      <c r="C35" s="34">
        <f>'Fixed Costs - TRC'!L32*1000</f>
        <v>8444184.2022745013</v>
      </c>
      <c r="D35" s="100">
        <v>14877.354082007103</v>
      </c>
      <c r="E35" s="100">
        <v>25100.977139686896</v>
      </c>
      <c r="F35" s="100">
        <v>-18398.780037893306</v>
      </c>
      <c r="G35" s="34">
        <f>'Fixed Costs - TRC'!G32*1000</f>
        <v>4352665.0735244732</v>
      </c>
      <c r="H35" s="38">
        <f t="shared" si="0"/>
        <v>4374244.6247082744</v>
      </c>
      <c r="I35" s="180">
        <f t="shared" si="9"/>
        <v>109833.20258635563</v>
      </c>
      <c r="J35" s="180">
        <f t="shared" si="16"/>
        <v>29443.389429999999</v>
      </c>
      <c r="K35" s="83">
        <v>22691160.351764329</v>
      </c>
      <c r="L35" s="34">
        <f t="shared" si="10"/>
        <v>22830436.943780683</v>
      </c>
      <c r="M35" s="34">
        <f t="shared" si="1"/>
        <v>35648865.770763457</v>
      </c>
      <c r="N35" s="34">
        <f>NEL!B28/1000</f>
        <v>174716.72575385048</v>
      </c>
      <c r="O35" s="34">
        <f t="shared" si="17"/>
        <v>1621.8715728488239</v>
      </c>
      <c r="P35" s="34">
        <f t="shared" si="2"/>
        <v>173094.85418100166</v>
      </c>
      <c r="Q35" s="116">
        <f t="shared" si="3"/>
        <v>20.594988764649344</v>
      </c>
      <c r="R35" s="30">
        <f t="shared" si="4"/>
        <v>3.4018546164841021</v>
      </c>
      <c r="S35" s="56">
        <f t="shared" si="11"/>
        <v>14.884891880407711</v>
      </c>
      <c r="T35" s="35">
        <f t="shared" si="5"/>
        <v>2.4586679185835352</v>
      </c>
      <c r="U35" s="112"/>
      <c r="V35" s="57">
        <f t="shared" si="6"/>
        <v>2047</v>
      </c>
      <c r="W35" s="17">
        <v>29443389.43</v>
      </c>
      <c r="X35" s="17">
        <f t="shared" si="15"/>
        <v>109833202.58635563</v>
      </c>
      <c r="Y35" s="102">
        <f t="shared" si="12"/>
        <v>139276592.01635563</v>
      </c>
      <c r="Z35" s="14"/>
      <c r="AC35" s="11"/>
      <c r="AD35" s="11"/>
    </row>
    <row r="36" spans="1:30">
      <c r="A36" s="29">
        <f t="shared" si="7"/>
        <v>2048</v>
      </c>
      <c r="B36" s="92">
        <f t="shared" si="8"/>
        <v>0.15273979322195161</v>
      </c>
      <c r="C36" s="34">
        <f>'Fixed Costs - TRC'!L33*1000</f>
        <v>9148518.4484621249</v>
      </c>
      <c r="D36" s="100">
        <v>15945.103957765095</v>
      </c>
      <c r="E36" s="100">
        <v>25540.408064702562</v>
      </c>
      <c r="F36" s="100">
        <v>-18065.280578131311</v>
      </c>
      <c r="G36" s="34">
        <f>'Fixed Costs - TRC'!G33*1000</f>
        <v>4382723.0523810377</v>
      </c>
      <c r="H36" s="38">
        <f t="shared" si="0"/>
        <v>4406143.2838253742</v>
      </c>
      <c r="I36" s="180">
        <f t="shared" si="9"/>
        <v>109833.20258635563</v>
      </c>
      <c r="J36" s="180">
        <f t="shared" si="16"/>
        <v>29443.389429999999</v>
      </c>
      <c r="K36" s="83">
        <v>23164942.107887957</v>
      </c>
      <c r="L36" s="34">
        <f t="shared" si="10"/>
        <v>23304218.699904311</v>
      </c>
      <c r="M36" s="34">
        <f t="shared" si="1"/>
        <v>36858880.432191812</v>
      </c>
      <c r="N36" s="34">
        <f>NEL!B29/1000</f>
        <v>176408.04531090354</v>
      </c>
      <c r="O36" s="34">
        <f t="shared" si="17"/>
        <v>1621.8715728488239</v>
      </c>
      <c r="P36" s="34">
        <f t="shared" si="2"/>
        <v>174786.17373805473</v>
      </c>
      <c r="Q36" s="116">
        <f t="shared" si="3"/>
        <v>21.087984045826637</v>
      </c>
      <c r="R36" s="30">
        <f t="shared" si="4"/>
        <v>3.220974322627375</v>
      </c>
      <c r="S36" s="56">
        <f t="shared" si="11"/>
        <v>14.884891880407711</v>
      </c>
      <c r="T36" s="35">
        <f t="shared" si="5"/>
        <v>2.2735153079445802</v>
      </c>
      <c r="U36" s="112"/>
      <c r="V36" s="57">
        <f t="shared" si="6"/>
        <v>2048</v>
      </c>
      <c r="W36" s="17">
        <v>29443389.43</v>
      </c>
      <c r="X36" s="17">
        <f t="shared" si="15"/>
        <v>109833202.58635563</v>
      </c>
      <c r="Y36" s="102">
        <f t="shared" si="12"/>
        <v>139276592.01635563</v>
      </c>
      <c r="Z36" s="14"/>
      <c r="AC36" s="11"/>
      <c r="AD36" s="11"/>
    </row>
    <row r="37" spans="1:30">
      <c r="A37" s="29">
        <f t="shared" si="7"/>
        <v>2049</v>
      </c>
      <c r="B37" s="92">
        <f t="shared" si="8"/>
        <v>0.14123756014291464</v>
      </c>
      <c r="C37" s="34">
        <f>'Fixed Costs - TRC'!L34*1000</f>
        <v>9872286.6174211465</v>
      </c>
      <c r="D37" s="100">
        <v>16812.546121310177</v>
      </c>
      <c r="E37" s="100">
        <v>25885.245524460974</v>
      </c>
      <c r="F37" s="100">
        <v>-17764.19297555404</v>
      </c>
      <c r="G37" s="34">
        <f>'Fixed Costs - TRC'!G34*1000</f>
        <v>4447558.7196025802</v>
      </c>
      <c r="H37" s="38">
        <f t="shared" si="0"/>
        <v>4472492.3182727974</v>
      </c>
      <c r="I37" s="180">
        <f t="shared" si="9"/>
        <v>109833.20258635563</v>
      </c>
      <c r="J37" s="180">
        <f t="shared" si="16"/>
        <v>29443.389429999999</v>
      </c>
      <c r="K37" s="83">
        <v>23646231.919269901</v>
      </c>
      <c r="L37" s="34">
        <f t="shared" si="10"/>
        <v>23785508.511286255</v>
      </c>
      <c r="M37" s="34">
        <f t="shared" si="1"/>
        <v>38130287.446980201</v>
      </c>
      <c r="N37" s="34">
        <f>NEL!B30/1000</f>
        <v>178116.47390867816</v>
      </c>
      <c r="O37" s="34">
        <f t="shared" si="17"/>
        <v>1621.8715728488239</v>
      </c>
      <c r="P37" s="34">
        <f t="shared" si="2"/>
        <v>176494.60233582935</v>
      </c>
      <c r="Q37" s="116">
        <f t="shared" si="3"/>
        <v>21.604222986053067</v>
      </c>
      <c r="R37" s="30">
        <f t="shared" si="4"/>
        <v>3.051327743333609</v>
      </c>
      <c r="S37" s="56">
        <f t="shared" si="11"/>
        <v>14.884891880407711</v>
      </c>
      <c r="T37" s="35">
        <f t="shared" si="5"/>
        <v>2.1023058121798659</v>
      </c>
      <c r="U37" s="112"/>
      <c r="V37" s="57">
        <f t="shared" si="6"/>
        <v>2049</v>
      </c>
      <c r="W37" s="17">
        <v>29443389.43</v>
      </c>
      <c r="X37" s="17">
        <f t="shared" si="15"/>
        <v>109833202.58635563</v>
      </c>
      <c r="Y37" s="102">
        <f t="shared" si="12"/>
        <v>139276592.01635563</v>
      </c>
      <c r="Z37" s="14"/>
      <c r="AC37" s="11"/>
      <c r="AD37" s="11"/>
    </row>
    <row r="38" spans="1:30">
      <c r="A38" s="29">
        <f t="shared" si="7"/>
        <v>2050</v>
      </c>
      <c r="B38" s="92">
        <f t="shared" si="8"/>
        <v>0.13060151499705264</v>
      </c>
      <c r="C38" s="34">
        <f>'Fixed Costs - TRC'!L35*1000</f>
        <v>10940221.902381178</v>
      </c>
      <c r="D38" s="100">
        <v>16695.933837812539</v>
      </c>
      <c r="E38" s="100">
        <v>25009.652363890174</v>
      </c>
      <c r="F38" s="100">
        <v>-17475.711853367869</v>
      </c>
      <c r="G38" s="34">
        <f>'Fixed Costs - TRC'!G35*1000</f>
        <v>4338546.9643988628</v>
      </c>
      <c r="H38" s="38">
        <f t="shared" si="0"/>
        <v>4362776.8387471978</v>
      </c>
      <c r="I38" s="180">
        <f t="shared" si="9"/>
        <v>109833.20258635563</v>
      </c>
      <c r="J38" s="180">
        <f t="shared" si="16"/>
        <v>29443.389429999999</v>
      </c>
      <c r="K38" s="83">
        <v>24135145.366166316</v>
      </c>
      <c r="L38" s="34">
        <f t="shared" si="10"/>
        <v>24274421.95818267</v>
      </c>
      <c r="M38" s="34">
        <f t="shared" si="1"/>
        <v>39577420.699311048</v>
      </c>
      <c r="N38" s="34">
        <f>NEL!B31/1000</f>
        <v>179842.18638912725</v>
      </c>
      <c r="O38" s="34">
        <f t="shared" si="17"/>
        <v>1621.8715728488239</v>
      </c>
      <c r="P38" s="34">
        <f t="shared" si="2"/>
        <v>178220.31481627843</v>
      </c>
      <c r="Q38" s="116">
        <f t="shared" si="3"/>
        <v>22.207019856355956</v>
      </c>
      <c r="R38" s="30">
        <f t="shared" si="4"/>
        <v>2.9002704368097181</v>
      </c>
      <c r="S38" s="56">
        <f t="shared" si="11"/>
        <v>14.884891880407711</v>
      </c>
      <c r="T38" s="35">
        <f t="shared" si="5"/>
        <v>1.9439894301485747</v>
      </c>
      <c r="U38" s="112"/>
      <c r="V38" s="57">
        <f t="shared" si="6"/>
        <v>2050</v>
      </c>
      <c r="W38" s="17">
        <v>29443389.43</v>
      </c>
      <c r="X38" s="17">
        <f t="shared" si="15"/>
        <v>109833202.58635563</v>
      </c>
      <c r="Y38" s="102">
        <f t="shared" si="12"/>
        <v>139276592.01635563</v>
      </c>
      <c r="Z38" s="14"/>
      <c r="AC38" s="11"/>
      <c r="AD38" s="11"/>
    </row>
    <row r="39" spans="1:30">
      <c r="A39" s="29">
        <f t="shared" si="7"/>
        <v>2051</v>
      </c>
      <c r="B39" s="92">
        <f t="shared" si="8"/>
        <v>0.12076642857796518</v>
      </c>
      <c r="C39" s="34">
        <f>'Fixed Costs - TRC'!L36*1000</f>
        <v>11203080.222039575</v>
      </c>
      <c r="D39" s="100">
        <v>17204.760367728526</v>
      </c>
      <c r="E39" s="100">
        <v>25031.835110756183</v>
      </c>
      <c r="F39" s="100">
        <v>-17189.750573161316</v>
      </c>
      <c r="G39" s="34">
        <f>'Fixed Costs - TRC'!G36*1000</f>
        <v>4332506.108324049</v>
      </c>
      <c r="H39" s="38">
        <f t="shared" si="0"/>
        <v>4357552.9532293724</v>
      </c>
      <c r="I39" s="180">
        <f t="shared" si="9"/>
        <v>109833.20258635563</v>
      </c>
      <c r="J39" s="180">
        <f t="shared" si="16"/>
        <v>29443.389429999999</v>
      </c>
      <c r="K39" s="83">
        <v>24631799.867536113</v>
      </c>
      <c r="L39" s="34">
        <f t="shared" si="10"/>
        <v>24771076.459552467</v>
      </c>
      <c r="M39" s="34">
        <f t="shared" si="1"/>
        <v>40331709.634821415</v>
      </c>
      <c r="N39" s="34">
        <f>NEL!B32/1000</f>
        <v>181585.35938502947</v>
      </c>
      <c r="O39" s="34">
        <f t="shared" si="17"/>
        <v>1621.8715728488239</v>
      </c>
      <c r="P39" s="34">
        <f t="shared" si="2"/>
        <v>179963.48781218065</v>
      </c>
      <c r="Q39" s="116">
        <f t="shared" si="3"/>
        <v>22.411051333320295</v>
      </c>
      <c r="R39" s="30">
        <f t="shared" si="4"/>
        <v>2.7065026302025368</v>
      </c>
      <c r="S39" s="56">
        <f t="shared" ref="S39:S58" si="18">S38</f>
        <v>14.884891880407711</v>
      </c>
      <c r="T39" s="35">
        <f t="shared" si="5"/>
        <v>1.7975952321659916</v>
      </c>
      <c r="U39" s="112"/>
      <c r="V39" s="57">
        <f t="shared" si="6"/>
        <v>2051</v>
      </c>
      <c r="W39" s="17">
        <v>29443389.43</v>
      </c>
      <c r="X39" s="17">
        <f t="shared" si="15"/>
        <v>109833202.58635563</v>
      </c>
      <c r="Y39" s="102">
        <f t="shared" si="12"/>
        <v>139276592.01635563</v>
      </c>
      <c r="Z39" s="14"/>
      <c r="AC39" s="11"/>
      <c r="AD39" s="11"/>
    </row>
    <row r="40" spans="1:30">
      <c r="A40" s="29">
        <f t="shared" si="7"/>
        <v>2052</v>
      </c>
      <c r="B40" s="92">
        <f t="shared" si="8"/>
        <v>0.11167198383422967</v>
      </c>
      <c r="C40" s="34">
        <f>'Fixed Costs - TRC'!L37*1000</f>
        <v>11724902.181136368</v>
      </c>
      <c r="D40" s="100">
        <v>16516.824239586877</v>
      </c>
      <c r="E40" s="100">
        <v>13799.745213773365</v>
      </c>
      <c r="F40" s="100">
        <v>-16906.372130983873</v>
      </c>
      <c r="G40" s="34">
        <f>'Fixed Costs - TRC'!G37*1000</f>
        <v>4616514.938009263</v>
      </c>
      <c r="H40" s="38">
        <f t="shared" si="0"/>
        <v>4629925.1353316391</v>
      </c>
      <c r="I40" s="180">
        <f t="shared" si="9"/>
        <v>109833.20258635563</v>
      </c>
      <c r="J40" s="180">
        <f t="shared" si="16"/>
        <v>29443.389429999999</v>
      </c>
      <c r="K40" s="83">
        <v>25136314.709630359</v>
      </c>
      <c r="L40" s="34">
        <f t="shared" si="10"/>
        <v>25275591.301646713</v>
      </c>
      <c r="M40" s="34">
        <f t="shared" si="1"/>
        <v>41630418.618114725</v>
      </c>
      <c r="N40" s="34">
        <f>NEL!B33/1000</f>
        <v>183346.17133835287</v>
      </c>
      <c r="O40" s="34">
        <f t="shared" si="17"/>
        <v>1621.8715728488239</v>
      </c>
      <c r="P40" s="34">
        <f t="shared" si="2"/>
        <v>181724.29976550405</v>
      </c>
      <c r="Q40" s="116">
        <f t="shared" si="3"/>
        <v>22.908559104002254</v>
      </c>
      <c r="R40" s="30">
        <f t="shared" si="4"/>
        <v>2.5582442419276346</v>
      </c>
      <c r="S40" s="56">
        <f t="shared" si="18"/>
        <v>14.884891880407711</v>
      </c>
      <c r="T40" s="35">
        <f t="shared" si="5"/>
        <v>1.6622254054431465</v>
      </c>
      <c r="U40" s="112"/>
      <c r="V40" s="57">
        <f t="shared" si="6"/>
        <v>2052</v>
      </c>
      <c r="W40" s="17">
        <v>29443389.43</v>
      </c>
      <c r="X40" s="17">
        <f t="shared" si="15"/>
        <v>109833202.58635563</v>
      </c>
      <c r="Y40" s="102">
        <f t="shared" si="12"/>
        <v>139276592.01635563</v>
      </c>
      <c r="Z40" s="14"/>
      <c r="AC40" s="11"/>
      <c r="AD40" s="11"/>
    </row>
    <row r="41" spans="1:30">
      <c r="A41" s="29">
        <f t="shared" si="7"/>
        <v>2053</v>
      </c>
      <c r="B41" s="92">
        <f t="shared" si="8"/>
        <v>0.1032624059543301</v>
      </c>
      <c r="C41" s="34">
        <f>'Fixed Costs - TRC'!L38*1000</f>
        <v>12812668.724345559</v>
      </c>
      <c r="D41" s="100">
        <v>11995.607690597946</v>
      </c>
      <c r="E41" s="100">
        <v>11510.870136093659</v>
      </c>
      <c r="F41" s="100">
        <v>-16625.641097786262</v>
      </c>
      <c r="G41" s="34">
        <f>'Fixed Costs - TRC'!G38*1000</f>
        <v>4894139.6011238089</v>
      </c>
      <c r="H41" s="38">
        <f t="shared" si="0"/>
        <v>4901020.4378527142</v>
      </c>
      <c r="I41" s="180">
        <f t="shared" si="9"/>
        <v>109833.20258635563</v>
      </c>
      <c r="J41" s="180">
        <f t="shared" si="16"/>
        <v>29443.389429999999</v>
      </c>
      <c r="K41" s="83">
        <v>25648811.075635657</v>
      </c>
      <c r="L41" s="34">
        <f t="shared" si="10"/>
        <v>25788087.667652011</v>
      </c>
      <c r="M41" s="34">
        <f t="shared" si="1"/>
        <v>43501776.829850286</v>
      </c>
      <c r="N41" s="34">
        <f>NEL!B34/1000</f>
        <v>185124.80251877927</v>
      </c>
      <c r="O41" s="34">
        <f t="shared" si="17"/>
        <v>1621.8715728488239</v>
      </c>
      <c r="P41" s="34">
        <f t="shared" si="2"/>
        <v>183502.93094593045</v>
      </c>
      <c r="Q41" s="116">
        <f t="shared" si="3"/>
        <v>23.706311722436837</v>
      </c>
      <c r="R41" s="30">
        <f t="shared" si="4"/>
        <v>2.447970784762167</v>
      </c>
      <c r="S41" s="56">
        <f t="shared" si="18"/>
        <v>14.884891880407711</v>
      </c>
      <c r="T41" s="35">
        <f t="shared" si="5"/>
        <v>1.537049747940973</v>
      </c>
      <c r="U41" s="112"/>
      <c r="V41" s="57">
        <f t="shared" si="6"/>
        <v>2053</v>
      </c>
      <c r="W41" s="17">
        <v>29443389.43</v>
      </c>
      <c r="X41" s="17">
        <f t="shared" si="15"/>
        <v>109833202.58635563</v>
      </c>
      <c r="Y41" s="102">
        <f t="shared" si="12"/>
        <v>139276592.01635563</v>
      </c>
      <c r="Z41" s="14"/>
      <c r="AC41" s="11"/>
      <c r="AD41" s="11"/>
    </row>
    <row r="42" spans="1:30">
      <c r="A42" s="29">
        <f t="shared" si="7"/>
        <v>2054</v>
      </c>
      <c r="B42" s="92">
        <f>B41/(1+$B$11)</f>
        <v>9.5486120308435063E-2</v>
      </c>
      <c r="C42" s="34">
        <f>'Fixed Costs - TRC'!L39*1000</f>
        <v>13345003.547120336</v>
      </c>
      <c r="D42" s="100">
        <v>12456.120226357003</v>
      </c>
      <c r="E42" s="100">
        <v>11494.939362113588</v>
      </c>
      <c r="F42" s="100">
        <v>-16347.623658792991</v>
      </c>
      <c r="G42" s="34">
        <f>'Fixed Costs - TRC'!G39*1000</f>
        <v>4904705.8805961609</v>
      </c>
      <c r="H42" s="38">
        <f t="shared" si="0"/>
        <v>4912309.3165258383</v>
      </c>
      <c r="I42" s="180">
        <f t="shared" si="9"/>
        <v>109833.20258635563</v>
      </c>
      <c r="J42" s="180">
        <f>W42/1000</f>
        <v>29443.389429999999</v>
      </c>
      <c r="K42" s="83">
        <v>26167862.568673439</v>
      </c>
      <c r="L42" s="34">
        <f>SUM(I42:K42)</f>
        <v>26307139.160689794</v>
      </c>
      <c r="M42" s="34">
        <f t="shared" si="1"/>
        <v>44564452.024335966</v>
      </c>
      <c r="N42" s="34">
        <f>NEL!B35/1000</f>
        <v>186921.43504245102</v>
      </c>
      <c r="O42" s="34">
        <f t="shared" si="17"/>
        <v>1621.8715728488239</v>
      </c>
      <c r="P42" s="34">
        <f>N42-O42</f>
        <v>185299.5634696022</v>
      </c>
      <c r="Q42" s="116">
        <f>(M42/P42)/10</f>
        <v>24.049949816339755</v>
      </c>
      <c r="R42" s="30">
        <f t="shared" si="4"/>
        <v>2.2964364015748435</v>
      </c>
      <c r="S42" s="56">
        <f t="shared" si="18"/>
        <v>14.884891880407711</v>
      </c>
      <c r="T42" s="35">
        <f t="shared" si="5"/>
        <v>1.4213005768706588</v>
      </c>
      <c r="U42" s="14"/>
      <c r="V42" s="57">
        <f t="shared" si="6"/>
        <v>2054</v>
      </c>
      <c r="W42" s="17">
        <v>29443389.43</v>
      </c>
      <c r="X42" s="17">
        <f t="shared" si="15"/>
        <v>109833202.58635563</v>
      </c>
      <c r="Y42" s="102">
        <f t="shared" si="12"/>
        <v>139276592.01635563</v>
      </c>
      <c r="Z42" s="14"/>
      <c r="AC42" s="108"/>
      <c r="AD42" s="108"/>
    </row>
    <row r="43" spans="1:30">
      <c r="A43" s="29">
        <f t="shared" si="7"/>
        <v>2055</v>
      </c>
      <c r="B43" s="92">
        <f>B42/(1+$B$11)</f>
        <v>8.8295436149234963E-2</v>
      </c>
      <c r="C43" s="34">
        <f>'Fixed Costs - TRC'!L40*1000</f>
        <v>13598543.93855929</v>
      </c>
      <c r="D43" s="100">
        <v>10040.732704506952</v>
      </c>
      <c r="E43" s="100">
        <v>11320.778185571973</v>
      </c>
      <c r="F43" s="100">
        <v>-16072.387653859154</v>
      </c>
      <c r="G43" s="34">
        <f>'Fixed Costs - TRC'!G40*1000</f>
        <v>4753652.6381378192</v>
      </c>
      <c r="H43" s="38">
        <f t="shared" si="0"/>
        <v>4758941.7613740386</v>
      </c>
      <c r="I43" s="180">
        <f t="shared" si="9"/>
        <v>109833.20258635563</v>
      </c>
      <c r="J43" s="180">
        <f>W43/1000</f>
        <v>29443.389429999999</v>
      </c>
      <c r="K43" s="83">
        <v>26695116.774999283</v>
      </c>
      <c r="L43" s="34">
        <f>SUM(I43:K43)</f>
        <v>26834393.367015637</v>
      </c>
      <c r="M43" s="34">
        <f t="shared" si="1"/>
        <v>45191879.066948965</v>
      </c>
      <c r="N43" s="34">
        <f>NEL!B36/1000</f>
        <v>188736.25289088118</v>
      </c>
      <c r="O43" s="34">
        <f t="shared" si="17"/>
        <v>1621.8715728488239</v>
      </c>
      <c r="P43" s="34">
        <f>N43-O43</f>
        <v>187114.38131803236</v>
      </c>
      <c r="Q43" s="116">
        <f>(M43/P43)/10</f>
        <v>24.152007316924383</v>
      </c>
      <c r="R43" s="30">
        <f t="shared" si="4"/>
        <v>2.1325120199273524</v>
      </c>
      <c r="S43" s="56">
        <f t="shared" si="18"/>
        <v>14.884891880407711</v>
      </c>
      <c r="T43" s="35">
        <f t="shared" si="5"/>
        <v>1.314268020614805</v>
      </c>
      <c r="U43" s="14"/>
      <c r="V43" s="57">
        <f t="shared" si="6"/>
        <v>2055</v>
      </c>
      <c r="W43" s="17">
        <v>29443389.43</v>
      </c>
      <c r="X43" s="17">
        <f t="shared" si="15"/>
        <v>109833202.58635563</v>
      </c>
      <c r="Y43" s="102">
        <f t="shared" si="12"/>
        <v>139276592.01635563</v>
      </c>
      <c r="Z43" s="14"/>
      <c r="AC43" s="108"/>
      <c r="AD43" s="108"/>
    </row>
    <row r="44" spans="1:30">
      <c r="A44" s="29">
        <f t="shared" si="7"/>
        <v>2056</v>
      </c>
      <c r="B44" s="92">
        <f>B43/(1+$B$11)</f>
        <v>8.1646254132025281E-2</v>
      </c>
      <c r="C44" s="34">
        <f>'Fixed Costs - TRC'!L41*1000</f>
        <v>14542736.466804404</v>
      </c>
      <c r="D44" s="100">
        <v>9643.6388713580018</v>
      </c>
      <c r="E44" s="100">
        <v>11303.56950334529</v>
      </c>
      <c r="F44" s="100">
        <v>-15800.002618836246</v>
      </c>
      <c r="G44" s="34">
        <f>'Fixed Costs - TRC'!G41*1000</f>
        <v>5293436.1129417438</v>
      </c>
      <c r="H44" s="38">
        <f t="shared" si="0"/>
        <v>5298583.3186976109</v>
      </c>
      <c r="I44" s="180">
        <f t="shared" si="9"/>
        <v>109833.20258635563</v>
      </c>
      <c r="J44" s="180">
        <f>W44/1000</f>
        <v>29443.389429999999</v>
      </c>
      <c r="K44" s="83">
        <v>27230700.070107445</v>
      </c>
      <c r="L44" s="34">
        <f>SUM(I44:K44)</f>
        <v>27369976.662123799</v>
      </c>
      <c r="M44" s="34">
        <f t="shared" si="1"/>
        <v>47211296.447625816</v>
      </c>
      <c r="N44" s="34">
        <f>NEL!B37/1000</f>
        <v>190569.44193007273</v>
      </c>
      <c r="O44" s="34">
        <f t="shared" si="17"/>
        <v>1621.8715728488239</v>
      </c>
      <c r="P44" s="34">
        <f>N44-O44</f>
        <v>188947.57035722391</v>
      </c>
      <c r="Q44" s="116">
        <f>(M44/P44)/10</f>
        <v>24.986453309967537</v>
      </c>
      <c r="R44" s="30">
        <f t="shared" si="4"/>
        <v>2.0400503168035939</v>
      </c>
      <c r="S44" s="56">
        <f t="shared" si="18"/>
        <v>14.884891880407711</v>
      </c>
      <c r="T44" s="35">
        <f t="shared" si="5"/>
        <v>1.2152956651954876</v>
      </c>
      <c r="U44" s="14"/>
      <c r="V44" s="57">
        <f t="shared" si="6"/>
        <v>2056</v>
      </c>
      <c r="W44" s="17">
        <v>29443389.43</v>
      </c>
      <c r="X44" s="17">
        <f t="shared" si="15"/>
        <v>109833202.58635563</v>
      </c>
      <c r="Y44" s="102">
        <f t="shared" si="12"/>
        <v>139276592.01635563</v>
      </c>
      <c r="Z44" s="14"/>
      <c r="AC44" s="108"/>
      <c r="AD44" s="108"/>
    </row>
    <row r="45" spans="1:30">
      <c r="A45" s="29">
        <f t="shared" si="7"/>
        <v>2057</v>
      </c>
      <c r="B45" s="92">
        <f>B44/(1+$B$11)</f>
        <v>7.5497795860301822E-2</v>
      </c>
      <c r="C45" s="34">
        <f>'Fixed Costs - TRC'!L42*1000</f>
        <v>14937462.603419892</v>
      </c>
      <c r="D45" s="100">
        <v>8195.8527772447142</v>
      </c>
      <c r="E45" s="100">
        <v>11139.584766838829</v>
      </c>
      <c r="F45" s="100">
        <v>-15530.539827972039</v>
      </c>
      <c r="G45" s="34">
        <f>'Fixed Costs - TRC'!G42*1000</f>
        <v>5177484.9506263696</v>
      </c>
      <c r="H45" s="38">
        <f t="shared" si="0"/>
        <v>5181289.8483424811</v>
      </c>
      <c r="I45" s="180">
        <f t="shared" si="9"/>
        <v>109833.20258635563</v>
      </c>
      <c r="J45" s="180">
        <f>W45/1000</f>
        <v>29443.389429999999</v>
      </c>
      <c r="K45" s="83">
        <v>27774740.835283663</v>
      </c>
      <c r="L45" s="34">
        <f>SUM(I45:K45)</f>
        <v>27914017.427300017</v>
      </c>
      <c r="M45" s="34">
        <f t="shared" si="1"/>
        <v>48032769.879062392</v>
      </c>
      <c r="N45" s="34">
        <f>NEL!B38/1000</f>
        <v>192421.18992983163</v>
      </c>
      <c r="O45" s="34">
        <f t="shared" si="17"/>
        <v>1621.8715728488239</v>
      </c>
      <c r="P45" s="34">
        <f>N45-O45</f>
        <v>190799.31835698281</v>
      </c>
      <c r="Q45" s="116">
        <f>(M45/P45)/10</f>
        <v>25.174497630643398</v>
      </c>
      <c r="R45" s="30">
        <f t="shared" si="4"/>
        <v>1.9006190830039671</v>
      </c>
      <c r="S45" s="56">
        <f t="shared" si="18"/>
        <v>14.884891880407711</v>
      </c>
      <c r="T45" s="35">
        <f t="shared" si="5"/>
        <v>1.1237765285896855</v>
      </c>
      <c r="U45" s="14"/>
      <c r="V45" s="57">
        <f t="shared" si="6"/>
        <v>2057</v>
      </c>
      <c r="W45" s="17">
        <v>29443389.43</v>
      </c>
      <c r="X45" s="17">
        <f t="shared" si="15"/>
        <v>109833202.58635563</v>
      </c>
      <c r="Y45" s="102">
        <f t="shared" si="12"/>
        <v>139276592.01635563</v>
      </c>
      <c r="Z45" s="14"/>
      <c r="AC45" s="108"/>
      <c r="AD45" s="108"/>
    </row>
    <row r="46" spans="1:30">
      <c r="A46" s="29">
        <f t="shared" si="7"/>
        <v>2058</v>
      </c>
      <c r="B46" s="92">
        <f>B45/(1+$B$11)</f>
        <v>6.9812353798213586E-2</v>
      </c>
      <c r="C46" s="34">
        <f>'Fixed Costs - TRC'!L43*1000</f>
        <v>15170736.206962507</v>
      </c>
      <c r="D46" s="100">
        <v>8725.4375498935424</v>
      </c>
      <c r="E46" s="100">
        <v>11350.736267969738</v>
      </c>
      <c r="F46" s="100">
        <v>-15264.0723373705</v>
      </c>
      <c r="G46" s="34">
        <f>'Fixed Costs - TRC'!G43*1000</f>
        <v>5289944.9749011947</v>
      </c>
      <c r="H46" s="38">
        <f t="shared" si="0"/>
        <v>5294757.0763816871</v>
      </c>
      <c r="I46" s="180">
        <f t="shared" si="9"/>
        <v>109833.20258635563</v>
      </c>
      <c r="J46" s="180">
        <f>W46/1000</f>
        <v>29443.389429999999</v>
      </c>
      <c r="K46" s="83">
        <v>28327369.490628313</v>
      </c>
      <c r="L46" s="34">
        <f>SUM(I46:K46)</f>
        <v>28466646.082644667</v>
      </c>
      <c r="M46" s="34">
        <f t="shared" si="1"/>
        <v>48932139.365988865</v>
      </c>
      <c r="N46" s="34">
        <f>NEL!B39/1000</f>
        <v>194291.68658327684</v>
      </c>
      <c r="O46" s="34">
        <f t="shared" si="17"/>
        <v>1621.8715728488239</v>
      </c>
      <c r="P46" s="34">
        <f>N46-O46</f>
        <v>192669.81501042802</v>
      </c>
      <c r="Q46" s="116">
        <f>(M46/P46)/10</f>
        <v>25.396889161564033</v>
      </c>
      <c r="R46" s="30">
        <f t="shared" si="4"/>
        <v>1.7730166115211243</v>
      </c>
      <c r="S46" s="56">
        <f t="shared" si="18"/>
        <v>14.884891880407711</v>
      </c>
      <c r="T46" s="35">
        <f t="shared" si="5"/>
        <v>1.0391493382031798</v>
      </c>
      <c r="U46" s="14"/>
      <c r="V46" s="57">
        <f t="shared" si="6"/>
        <v>2058</v>
      </c>
      <c r="W46" s="17">
        <v>29443389.43</v>
      </c>
      <c r="X46" s="17">
        <f t="shared" si="15"/>
        <v>109833202.58635563</v>
      </c>
      <c r="Y46" s="102">
        <f t="shared" si="12"/>
        <v>139276592.01635563</v>
      </c>
      <c r="Z46" s="14"/>
      <c r="AC46" s="108"/>
      <c r="AD46" s="108"/>
    </row>
    <row r="47" spans="1:30">
      <c r="A47" s="29">
        <f t="shared" si="7"/>
        <v>2059</v>
      </c>
      <c r="B47" s="92">
        <f t="shared" ref="B47:B58" si="19">B46/(1+$B$11)</f>
        <v>6.4555060016125113E-2</v>
      </c>
      <c r="C47" s="34">
        <f>'Fixed Costs - TRC'!L44*1000</f>
        <v>15538476.668039823</v>
      </c>
      <c r="D47" s="100">
        <v>13323.35782559047</v>
      </c>
      <c r="E47" s="100">
        <v>21011.15683818567</v>
      </c>
      <c r="F47" s="100">
        <v>-15000.675029538197</v>
      </c>
      <c r="G47" s="34">
        <f>'Fixed Costs - TRC'!G44*1000</f>
        <v>5380596.7533056745</v>
      </c>
      <c r="H47" s="38">
        <f t="shared" si="0"/>
        <v>5399930.5929399123</v>
      </c>
      <c r="I47" s="180">
        <f t="shared" ref="I47:I52" si="20">X47/1000</f>
        <v>109833.20258635563</v>
      </c>
      <c r="J47" s="180">
        <f t="shared" ref="J47:J52" si="21">W47/1000</f>
        <v>29443.389429999999</v>
      </c>
      <c r="K47" s="83">
        <v>28888718.528638612</v>
      </c>
      <c r="L47" s="34">
        <f t="shared" ref="L47:L52" si="22">SUM(I47:K47)</f>
        <v>29027995.120654967</v>
      </c>
      <c r="M47" s="34">
        <f t="shared" si="1"/>
        <v>49966402.381634697</v>
      </c>
      <c r="N47" s="34">
        <f>NEL!B40/1000</f>
        <v>196181.1235265471</v>
      </c>
      <c r="O47" s="34">
        <f t="shared" si="17"/>
        <v>1621.8715728488239</v>
      </c>
      <c r="P47" s="34">
        <f t="shared" ref="P47:P52" si="23">N47-O47</f>
        <v>194559.25195369829</v>
      </c>
      <c r="Q47" s="116">
        <f t="shared" ref="Q47:Q52" si="24">(M47/P47)/10</f>
        <v>25.681843386983122</v>
      </c>
      <c r="R47" s="30">
        <f t="shared" si="4"/>
        <v>1.6578929411714212</v>
      </c>
      <c r="S47" s="56">
        <f t="shared" si="18"/>
        <v>14.884891880407711</v>
      </c>
      <c r="T47" s="35">
        <f t="shared" si="5"/>
        <v>0.96089508867325313</v>
      </c>
      <c r="U47" s="14"/>
      <c r="V47" s="57">
        <f t="shared" si="6"/>
        <v>2059</v>
      </c>
      <c r="W47" s="17">
        <v>29443389.43</v>
      </c>
      <c r="X47" s="17">
        <f t="shared" si="15"/>
        <v>109833202.58635563</v>
      </c>
      <c r="Y47" s="102">
        <f t="shared" si="12"/>
        <v>139276592.01635563</v>
      </c>
      <c r="Z47" s="14"/>
      <c r="AC47" s="109"/>
      <c r="AD47" s="109"/>
    </row>
    <row r="48" spans="1:30">
      <c r="A48" s="29">
        <f t="shared" si="7"/>
        <v>2060</v>
      </c>
      <c r="B48" s="92">
        <f t="shared" si="19"/>
        <v>5.9693672351041019E-2</v>
      </c>
      <c r="C48" s="34">
        <f>'Fixed Costs - TRC'!L45*1000</f>
        <v>15840759.005863208</v>
      </c>
      <c r="D48" s="100">
        <v>13919.444123845238</v>
      </c>
      <c r="E48" s="100">
        <v>21351.629121451129</v>
      </c>
      <c r="F48" s="100">
        <v>-14740.424659044354</v>
      </c>
      <c r="G48" s="34">
        <f>'Fixed Costs - TRC'!G45*1000</f>
        <v>5436136.8402345153</v>
      </c>
      <c r="H48" s="38">
        <f t="shared" si="0"/>
        <v>5456667.488820767</v>
      </c>
      <c r="I48" s="180">
        <f t="shared" si="20"/>
        <v>109833.20258635563</v>
      </c>
      <c r="J48" s="180">
        <f t="shared" si="21"/>
        <v>29443.389429999999</v>
      </c>
      <c r="K48" s="83">
        <v>29458922.548359588</v>
      </c>
      <c r="L48" s="34">
        <f t="shared" si="22"/>
        <v>29598199.140375942</v>
      </c>
      <c r="M48" s="34">
        <f t="shared" si="1"/>
        <v>50895625.635059915</v>
      </c>
      <c r="N48" s="34">
        <f>NEL!B41/1000</f>
        <v>198089.69435871768</v>
      </c>
      <c r="O48" s="34">
        <f t="shared" si="17"/>
        <v>1621.8715728488239</v>
      </c>
      <c r="P48" s="34">
        <f t="shared" si="23"/>
        <v>196467.82278586886</v>
      </c>
      <c r="Q48" s="116">
        <f t="shared" si="24"/>
        <v>25.905323789601557</v>
      </c>
      <c r="R48" s="30">
        <f t="shared" si="4"/>
        <v>1.5463839104441035</v>
      </c>
      <c r="S48" s="56">
        <f t="shared" si="18"/>
        <v>14.884891880407711</v>
      </c>
      <c r="T48" s="35">
        <f t="shared" si="5"/>
        <v>0.88853385888972869</v>
      </c>
      <c r="U48" s="14"/>
      <c r="V48" s="57">
        <f t="shared" si="6"/>
        <v>2060</v>
      </c>
      <c r="W48" s="17">
        <v>29443389.43</v>
      </c>
      <c r="X48" s="17">
        <f t="shared" si="15"/>
        <v>109833202.58635563</v>
      </c>
      <c r="Y48" s="102">
        <f t="shared" si="12"/>
        <v>139276592.01635563</v>
      </c>
      <c r="Z48" s="14"/>
      <c r="AC48" s="11"/>
      <c r="AD48" s="11"/>
    </row>
    <row r="49" spans="1:30">
      <c r="A49" s="29">
        <f t="shared" si="7"/>
        <v>2061</v>
      </c>
      <c r="B49" s="92">
        <f t="shared" si="19"/>
        <v>5.5198376670447816E-2</v>
      </c>
      <c r="C49" s="34">
        <f>'Fixed Costs - TRC'!L46*1000</f>
        <v>16125402.017182149</v>
      </c>
      <c r="D49" s="100">
        <v>19742.307128433349</v>
      </c>
      <c r="E49" s="100">
        <v>23217.203710142374</v>
      </c>
      <c r="F49" s="100">
        <v>-14483.399899322441</v>
      </c>
      <c r="G49" s="34">
        <f>'Fixed Costs - TRC'!G46*1000</f>
        <v>5429047.4609375037</v>
      </c>
      <c r="H49" s="38">
        <f t="shared" si="0"/>
        <v>5457523.5718767568</v>
      </c>
      <c r="I49" s="180">
        <f t="shared" si="20"/>
        <v>109833.20258635563</v>
      </c>
      <c r="J49" s="180">
        <f t="shared" si="21"/>
        <v>29443.389429999999</v>
      </c>
      <c r="K49" s="83">
        <v>30038118.290113412</v>
      </c>
      <c r="L49" s="34">
        <f t="shared" si="22"/>
        <v>30177394.882129766</v>
      </c>
      <c r="M49" s="34">
        <f t="shared" si="1"/>
        <v>51760320.471188672</v>
      </c>
      <c r="N49" s="34">
        <f>NEL!B42/1000</f>
        <v>200017.59466191049</v>
      </c>
      <c r="O49" s="34">
        <f t="shared" si="17"/>
        <v>1621.8715728488239</v>
      </c>
      <c r="P49" s="34">
        <f t="shared" si="23"/>
        <v>198395.72308906168</v>
      </c>
      <c r="Q49" s="116">
        <f t="shared" si="24"/>
        <v>26.089433615437862</v>
      </c>
      <c r="R49" s="30">
        <f t="shared" si="4"/>
        <v>1.4400943838235822</v>
      </c>
      <c r="S49" s="56">
        <f t="shared" si="18"/>
        <v>14.884891880407711</v>
      </c>
      <c r="T49" s="35">
        <f t="shared" si="5"/>
        <v>0.82162186871363507</v>
      </c>
      <c r="U49" s="14"/>
      <c r="V49" s="57">
        <f t="shared" si="6"/>
        <v>2061</v>
      </c>
      <c r="W49" s="17">
        <v>29443389.43</v>
      </c>
      <c r="X49" s="17">
        <f t="shared" si="15"/>
        <v>109833202.58635563</v>
      </c>
      <c r="Y49" s="102">
        <f t="shared" si="12"/>
        <v>139276592.01635563</v>
      </c>
      <c r="Z49" s="14"/>
      <c r="AC49" s="11"/>
      <c r="AD49" s="11"/>
    </row>
    <row r="50" spans="1:30">
      <c r="A50" s="29">
        <f t="shared" si="7"/>
        <v>2062</v>
      </c>
      <c r="B50" s="92">
        <f t="shared" si="19"/>
        <v>5.1041604026888156E-2</v>
      </c>
      <c r="C50" s="34">
        <f>'Fixed Costs - TRC'!L47*1000</f>
        <v>16479221.306432562</v>
      </c>
      <c r="D50" s="100">
        <v>15200.363906785877</v>
      </c>
      <c r="E50" s="100">
        <v>22449.837100708322</v>
      </c>
      <c r="F50" s="100">
        <v>-14236.119374811045</v>
      </c>
      <c r="G50" s="34">
        <f>'Fixed Costs - TRC'!G47*1000</f>
        <v>5218620.6141357431</v>
      </c>
      <c r="H50" s="38">
        <f t="shared" si="0"/>
        <v>5242034.6957684262</v>
      </c>
      <c r="I50" s="180">
        <f t="shared" si="20"/>
        <v>109833.20258635563</v>
      </c>
      <c r="J50" s="180">
        <f t="shared" si="21"/>
        <v>29443.389429999999</v>
      </c>
      <c r="K50" s="83">
        <v>30626444.67081736</v>
      </c>
      <c r="L50" s="34">
        <f t="shared" si="22"/>
        <v>30765721.262833714</v>
      </c>
      <c r="M50" s="34">
        <f t="shared" si="1"/>
        <v>52486977.265034705</v>
      </c>
      <c r="N50" s="34">
        <f>NEL!B43/1000</f>
        <v>201965.02202162123</v>
      </c>
      <c r="O50" s="34">
        <f t="shared" si="17"/>
        <v>1621.8715728488239</v>
      </c>
      <c r="P50" s="34">
        <f t="shared" si="23"/>
        <v>200343.15044877242</v>
      </c>
      <c r="Q50" s="116">
        <f t="shared" si="24"/>
        <v>26.198538431417738</v>
      </c>
      <c r="R50" s="30">
        <f t="shared" si="4"/>
        <v>1.3372154246996357</v>
      </c>
      <c r="S50" s="56">
        <f t="shared" si="18"/>
        <v>14.884891880407711</v>
      </c>
      <c r="T50" s="35">
        <f t="shared" si="5"/>
        <v>0.759748757342813</v>
      </c>
      <c r="U50" s="14"/>
      <c r="V50" s="57">
        <f t="shared" si="6"/>
        <v>2062</v>
      </c>
      <c r="W50" s="17">
        <v>29443389.43</v>
      </c>
      <c r="X50" s="17">
        <f t="shared" si="15"/>
        <v>109833202.58635563</v>
      </c>
      <c r="Y50" s="102">
        <f t="shared" si="12"/>
        <v>139276592.01635563</v>
      </c>
      <c r="Z50" s="14"/>
      <c r="AC50" s="11"/>
      <c r="AD50" s="11"/>
    </row>
    <row r="51" spans="1:30">
      <c r="A51" s="29">
        <f t="shared" si="7"/>
        <v>2063</v>
      </c>
      <c r="B51" s="92">
        <f t="shared" si="19"/>
        <v>4.7197861581904914E-2</v>
      </c>
      <c r="C51" s="34">
        <f>'Fixed Costs - TRC'!L48*1000</f>
        <v>17284456.123412117</v>
      </c>
      <c r="D51" s="100">
        <v>15719.32247358315</v>
      </c>
      <c r="E51" s="100">
        <v>22917.810939660616</v>
      </c>
      <c r="F51" s="100">
        <v>-14000.494392312376</v>
      </c>
      <c r="G51" s="34">
        <f>'Fixed Costs - TRC'!G48*1000</f>
        <v>5462709.6490478506</v>
      </c>
      <c r="H51" s="38">
        <f t="shared" si="0"/>
        <v>5487346.2880687816</v>
      </c>
      <c r="I51" s="180">
        <f t="shared" si="20"/>
        <v>109833.20258635563</v>
      </c>
      <c r="J51" s="180">
        <f t="shared" si="21"/>
        <v>29443.389429999999</v>
      </c>
      <c r="K51" s="83">
        <v>31224042.819900218</v>
      </c>
      <c r="L51" s="34">
        <f t="shared" si="22"/>
        <v>31363319.411916573</v>
      </c>
      <c r="M51" s="34">
        <f t="shared" si="1"/>
        <v>54135121.823397473</v>
      </c>
      <c r="N51" s="34">
        <f>NEL!B44/1000</f>
        <v>203932.17604724571</v>
      </c>
      <c r="O51" s="34">
        <f t="shared" si="17"/>
        <v>1621.8715728488239</v>
      </c>
      <c r="P51" s="34">
        <f t="shared" si="23"/>
        <v>202310.30447439689</v>
      </c>
      <c r="Q51" s="116">
        <f t="shared" si="24"/>
        <v>26.758459962798618</v>
      </c>
      <c r="R51" s="30">
        <f t="shared" si="4"/>
        <v>1.2629420894691137</v>
      </c>
      <c r="S51" s="56">
        <f t="shared" si="18"/>
        <v>14.884891880407711</v>
      </c>
      <c r="T51" s="35">
        <f t="shared" si="5"/>
        <v>0.7025350666331035</v>
      </c>
      <c r="U51" s="14"/>
      <c r="V51" s="57">
        <f t="shared" si="6"/>
        <v>2063</v>
      </c>
      <c r="W51" s="17">
        <v>29443389.43</v>
      </c>
      <c r="X51" s="17">
        <f t="shared" si="15"/>
        <v>109833202.58635563</v>
      </c>
      <c r="Y51" s="102">
        <f t="shared" si="12"/>
        <v>139276592.01635563</v>
      </c>
      <c r="Z51" s="14"/>
      <c r="AC51" s="11"/>
      <c r="AD51" s="11"/>
    </row>
    <row r="52" spans="1:30">
      <c r="A52" s="29">
        <f t="shared" si="7"/>
        <v>2064</v>
      </c>
      <c r="B52" s="92">
        <f t="shared" si="19"/>
        <v>4.3643576262437998E-2</v>
      </c>
      <c r="C52" s="34">
        <f>'Fixed Costs - TRC'!L49*1000</f>
        <v>17791699.718006015</v>
      </c>
      <c r="D52" s="100">
        <v>16516.141447767903</v>
      </c>
      <c r="E52" s="100">
        <v>23422.038783413009</v>
      </c>
      <c r="F52" s="100">
        <v>-13776.930834368108</v>
      </c>
      <c r="G52" s="34">
        <f>'Fixed Costs - TRC'!G49*1000</f>
        <v>5619630.7990722703</v>
      </c>
      <c r="H52" s="38">
        <f t="shared" si="0"/>
        <v>5645792.0484690834</v>
      </c>
      <c r="I52" s="180">
        <f t="shared" si="20"/>
        <v>109833.20258635563</v>
      </c>
      <c r="J52" s="180">
        <f t="shared" si="21"/>
        <v>29443.389429999999</v>
      </c>
      <c r="K52" s="83">
        <v>31224042.819900218</v>
      </c>
      <c r="L52" s="34">
        <f t="shared" si="22"/>
        <v>31363319.411916573</v>
      </c>
      <c r="M52" s="34">
        <f t="shared" si="1"/>
        <v>54800811.178391665</v>
      </c>
      <c r="N52" s="34">
        <f>NEL!B45/1000</f>
        <v>205919.25839282293</v>
      </c>
      <c r="O52" s="34">
        <f t="shared" si="17"/>
        <v>1621.8715728488239</v>
      </c>
      <c r="P52" s="34">
        <f t="shared" si="23"/>
        <v>204297.38681997411</v>
      </c>
      <c r="Q52" s="116">
        <f t="shared" si="24"/>
        <v>26.82403922605328</v>
      </c>
      <c r="R52" s="30">
        <f t="shared" si="4"/>
        <v>1.1706970016288847</v>
      </c>
      <c r="S52" s="56">
        <f t="shared" si="18"/>
        <v>14.884891880407711</v>
      </c>
      <c r="T52" s="35">
        <f t="shared" si="5"/>
        <v>0.64962991394071812</v>
      </c>
      <c r="U52" s="14"/>
      <c r="V52" s="57">
        <f t="shared" si="6"/>
        <v>2064</v>
      </c>
      <c r="W52" s="17">
        <v>29443389.43</v>
      </c>
      <c r="X52" s="17">
        <f t="shared" si="15"/>
        <v>109833202.58635563</v>
      </c>
      <c r="Y52" s="102">
        <f t="shared" si="12"/>
        <v>139276592.01635563</v>
      </c>
      <c r="Z52" s="14"/>
      <c r="AC52" s="11"/>
      <c r="AD52" s="11"/>
    </row>
    <row r="53" spans="1:30">
      <c r="A53" s="29">
        <f t="shared" si="7"/>
        <v>2065</v>
      </c>
      <c r="B53" s="92">
        <f t="shared" si="19"/>
        <v>4.0356950190843052E-2</v>
      </c>
      <c r="C53" s="34">
        <f>'Fixed Costs - TRC'!L50*1000</f>
        <v>18147908.698859043</v>
      </c>
      <c r="D53" s="100">
        <v>21010.501772480191</v>
      </c>
      <c r="E53" s="100">
        <v>24397.59473367512</v>
      </c>
      <c r="F53" s="100">
        <v>-13565.915587461077</v>
      </c>
      <c r="G53" s="34">
        <f>'Fixed Costs - TRC'!G50*1000</f>
        <v>5578285.1464843787</v>
      </c>
      <c r="H53" s="38">
        <f t="shared" si="0"/>
        <v>5610127.3274030732</v>
      </c>
      <c r="I53" s="180">
        <f t="shared" ref="I53:I58" si="25">X53/1000</f>
        <v>109833.20258635563</v>
      </c>
      <c r="J53" s="180">
        <f t="shared" ref="J53:J58" si="26">W53/1000</f>
        <v>29443.389429999999</v>
      </c>
      <c r="K53" s="83">
        <v>31224042.819900218</v>
      </c>
      <c r="L53" s="34">
        <f t="shared" ref="L53:L58" si="27">SUM(I53:K53)</f>
        <v>31363319.411916573</v>
      </c>
      <c r="M53" s="34">
        <f t="shared" si="1"/>
        <v>55121355.438178688</v>
      </c>
      <c r="N53" s="34">
        <f>NEL!B46/1000</f>
        <v>207926.47277798827</v>
      </c>
      <c r="O53" s="34">
        <f t="shared" si="17"/>
        <v>1621.8715728488239</v>
      </c>
      <c r="P53" s="34">
        <f t="shared" ref="P53:P58" si="28">N53-O53</f>
        <v>206304.60120513945</v>
      </c>
      <c r="Q53" s="116">
        <f t="shared" ref="Q53:Q58" si="29">(M53/P53)/10</f>
        <v>26.718432413132966</v>
      </c>
      <c r="R53" s="30">
        <f t="shared" si="4"/>
        <v>1.0782744460742137</v>
      </c>
      <c r="S53" s="56">
        <f t="shared" si="18"/>
        <v>14.884891880407711</v>
      </c>
      <c r="T53" s="35">
        <f t="shared" si="5"/>
        <v>0.60070884021369819</v>
      </c>
      <c r="U53" s="14"/>
      <c r="V53" s="57">
        <f t="shared" si="6"/>
        <v>2065</v>
      </c>
      <c r="W53" s="17">
        <v>29443389.43</v>
      </c>
      <c r="X53" s="17">
        <f t="shared" si="15"/>
        <v>109833202.58635563</v>
      </c>
      <c r="Y53" s="102">
        <f t="shared" ref="Y53:Y58" si="30">W53+X53</f>
        <v>139276592.01635563</v>
      </c>
      <c r="Z53" s="14"/>
      <c r="AC53" s="11"/>
      <c r="AD53" s="11"/>
    </row>
    <row r="54" spans="1:30">
      <c r="A54" s="29">
        <f t="shared" si="7"/>
        <v>2066</v>
      </c>
      <c r="B54" s="92">
        <f t="shared" si="19"/>
        <v>3.7317827001906792E-2</v>
      </c>
      <c r="C54" s="34">
        <f>'Fixed Costs - TRC'!L51*1000</f>
        <v>18528441.584656686</v>
      </c>
      <c r="D54" s="100">
        <v>22637.737868838052</v>
      </c>
      <c r="E54" s="100">
        <v>24769.221612914353</v>
      </c>
      <c r="F54" s="100">
        <v>-13367.988721045289</v>
      </c>
      <c r="G54" s="34">
        <f>'Fixed Costs - TRC'!G51*1000</f>
        <v>5659253.7285156241</v>
      </c>
      <c r="H54" s="38">
        <f t="shared" si="0"/>
        <v>5693292.6992763309</v>
      </c>
      <c r="I54" s="180">
        <f t="shared" si="25"/>
        <v>109833.20258635563</v>
      </c>
      <c r="J54" s="180">
        <f t="shared" si="26"/>
        <v>29443.389429999999</v>
      </c>
      <c r="K54" s="83">
        <v>31224042.819900218</v>
      </c>
      <c r="L54" s="34">
        <f t="shared" si="27"/>
        <v>31363319.411916573</v>
      </c>
      <c r="M54" s="34">
        <f t="shared" si="1"/>
        <v>55585053.69584959</v>
      </c>
      <c r="N54" s="34">
        <f>NEL!B47/1000</f>
        <v>209954.02500914101</v>
      </c>
      <c r="O54" s="34">
        <f t="shared" si="17"/>
        <v>1621.8715728488239</v>
      </c>
      <c r="P54" s="34">
        <f t="shared" si="28"/>
        <v>208332.1534362922</v>
      </c>
      <c r="Q54" s="116">
        <f t="shared" si="29"/>
        <v>26.680976881875058</v>
      </c>
      <c r="R54" s="30">
        <f t="shared" si="4"/>
        <v>0.99567607951968795</v>
      </c>
      <c r="S54" s="56">
        <f t="shared" si="18"/>
        <v>14.884891880407711</v>
      </c>
      <c r="T54" s="35">
        <f t="shared" si="5"/>
        <v>0.55547182013514207</v>
      </c>
      <c r="U54" s="14"/>
      <c r="V54" s="57">
        <f t="shared" si="6"/>
        <v>2066</v>
      </c>
      <c r="W54" s="17">
        <v>29443389.43</v>
      </c>
      <c r="X54" s="17">
        <f t="shared" si="15"/>
        <v>109833202.58635563</v>
      </c>
      <c r="Y54" s="102">
        <f t="shared" si="30"/>
        <v>139276592.01635563</v>
      </c>
      <c r="Z54" s="14"/>
      <c r="AC54" s="11"/>
      <c r="AD54" s="11"/>
    </row>
    <row r="55" spans="1:30">
      <c r="A55" s="29">
        <f t="shared" si="7"/>
        <v>2067</v>
      </c>
      <c r="B55" s="92">
        <f t="shared" si="19"/>
        <v>3.4507568227002142E-2</v>
      </c>
      <c r="C55" s="34">
        <f>'Fixed Costs - TRC'!L52*1000</f>
        <v>18880306.728997838</v>
      </c>
      <c r="D55" s="100">
        <v>24024.399065884572</v>
      </c>
      <c r="E55" s="100">
        <v>24857.09958045146</v>
      </c>
      <c r="F55" s="100">
        <v>-13183.726295292408</v>
      </c>
      <c r="G55" s="34">
        <f>'Fixed Costs - TRC'!G52*1000</f>
        <v>5752048.7634277344</v>
      </c>
      <c r="H55" s="38">
        <f t="shared" si="0"/>
        <v>5787746.5357787777</v>
      </c>
      <c r="I55" s="180">
        <f t="shared" si="25"/>
        <v>109833.20258635563</v>
      </c>
      <c r="J55" s="180">
        <f t="shared" si="26"/>
        <v>29443.389429999999</v>
      </c>
      <c r="K55" s="83">
        <v>31224042.819900218</v>
      </c>
      <c r="L55" s="34">
        <f t="shared" si="27"/>
        <v>31363319.411916573</v>
      </c>
      <c r="M55" s="34">
        <f t="shared" si="1"/>
        <v>56031372.676693186</v>
      </c>
      <c r="N55" s="34">
        <f>NEL!B48/1000</f>
        <v>212002.12300082471</v>
      </c>
      <c r="O55" s="34">
        <f t="shared" si="17"/>
        <v>1621.8715728488239</v>
      </c>
      <c r="P55" s="34">
        <f t="shared" si="28"/>
        <v>210380.25142797589</v>
      </c>
      <c r="Q55" s="116">
        <f t="shared" si="29"/>
        <v>26.633380413025908</v>
      </c>
      <c r="R55" s="30">
        <f t="shared" si="4"/>
        <v>0.919053191718194</v>
      </c>
      <c r="S55" s="56">
        <f t="shared" si="18"/>
        <v>14.884891880407711</v>
      </c>
      <c r="T55" s="35">
        <f t="shared" si="5"/>
        <v>0.5136414221147193</v>
      </c>
      <c r="U55" s="14"/>
      <c r="V55" s="57">
        <f t="shared" si="6"/>
        <v>2067</v>
      </c>
      <c r="W55" s="17">
        <v>29443389.43</v>
      </c>
      <c r="X55" s="17">
        <f t="shared" si="15"/>
        <v>109833202.58635563</v>
      </c>
      <c r="Y55" s="102">
        <f t="shared" si="30"/>
        <v>139276592.01635563</v>
      </c>
      <c r="Z55" s="14"/>
      <c r="AC55" s="11"/>
      <c r="AD55" s="11"/>
    </row>
    <row r="56" spans="1:30">
      <c r="A56" s="29">
        <f t="shared" si="7"/>
        <v>2068</v>
      </c>
      <c r="B56" s="92">
        <f t="shared" si="19"/>
        <v>3.1908938987266433E-2</v>
      </c>
      <c r="C56" s="34">
        <f>'Fixed Costs - TRC'!L53*1000</f>
        <v>19188003.393905729</v>
      </c>
      <c r="D56" s="100">
        <v>24047.716939818834</v>
      </c>
      <c r="E56" s="100">
        <v>24890.552406955678</v>
      </c>
      <c r="F56" s="100">
        <v>-13013.719749647862</v>
      </c>
      <c r="G56" s="34">
        <f>'Fixed Costs - TRC'!G53*1000</f>
        <v>5932714.4759521447</v>
      </c>
      <c r="H56" s="38">
        <f t="shared" si="0"/>
        <v>5968639.0255492711</v>
      </c>
      <c r="I56" s="180">
        <f t="shared" si="25"/>
        <v>109833.20258635563</v>
      </c>
      <c r="J56" s="180">
        <f t="shared" si="26"/>
        <v>29443.389429999999</v>
      </c>
      <c r="K56" s="83">
        <v>31224042.819900218</v>
      </c>
      <c r="L56" s="34">
        <f t="shared" si="27"/>
        <v>31363319.411916573</v>
      </c>
      <c r="M56" s="34">
        <f t="shared" si="1"/>
        <v>56519961.831371576</v>
      </c>
      <c r="N56" s="34">
        <f>NEL!B49/1000</f>
        <v>214070.9767973432</v>
      </c>
      <c r="O56" s="34">
        <f t="shared" si="17"/>
        <v>1621.8715728488239</v>
      </c>
      <c r="P56" s="34">
        <f t="shared" si="28"/>
        <v>212449.10522449439</v>
      </c>
      <c r="Q56" s="116">
        <f t="shared" si="29"/>
        <v>26.604000883716168</v>
      </c>
      <c r="R56" s="30">
        <f t="shared" si="4"/>
        <v>0.84890544101568144</v>
      </c>
      <c r="S56" s="56">
        <f t="shared" si="18"/>
        <v>14.884891880407711</v>
      </c>
      <c r="T56" s="35">
        <f t="shared" si="5"/>
        <v>0.47496110684398718</v>
      </c>
      <c r="U56" s="14"/>
      <c r="V56" s="57">
        <f t="shared" si="6"/>
        <v>2068</v>
      </c>
      <c r="W56" s="17">
        <v>29443389.43</v>
      </c>
      <c r="X56" s="17">
        <f t="shared" si="15"/>
        <v>109833202.58635563</v>
      </c>
      <c r="Y56" s="102">
        <f t="shared" si="30"/>
        <v>139276592.01635563</v>
      </c>
      <c r="Z56" s="14"/>
      <c r="AC56" s="11"/>
      <c r="AD56" s="11"/>
    </row>
    <row r="57" spans="1:30">
      <c r="A57" s="29">
        <f t="shared" si="7"/>
        <v>2069</v>
      </c>
      <c r="B57" s="92">
        <f t="shared" si="19"/>
        <v>2.950600229477679E-2</v>
      </c>
      <c r="C57" s="34">
        <f>'Fixed Costs - TRC'!L54*1000</f>
        <v>19580058.824054547</v>
      </c>
      <c r="D57" s="100">
        <v>18675.857819555808</v>
      </c>
      <c r="E57" s="100">
        <v>12680.054891527552</v>
      </c>
      <c r="F57" s="100">
        <v>-12858.569311933086</v>
      </c>
      <c r="G57" s="34">
        <f>'Fixed Costs - TRC'!G54*1000</f>
        <v>5759285.8828124981</v>
      </c>
      <c r="H57" s="38">
        <f t="shared" si="0"/>
        <v>5777783.2262116484</v>
      </c>
      <c r="I57" s="180">
        <f t="shared" si="25"/>
        <v>109833.20258635563</v>
      </c>
      <c r="J57" s="180">
        <f t="shared" si="26"/>
        <v>29443.389429999999</v>
      </c>
      <c r="K57" s="83">
        <v>31224042.819900218</v>
      </c>
      <c r="L57" s="34">
        <f t="shared" si="27"/>
        <v>31363319.411916573</v>
      </c>
      <c r="M57" s="34">
        <f t="shared" si="1"/>
        <v>56721161.462182768</v>
      </c>
      <c r="N57" s="34">
        <f>NEL!B50/1000</f>
        <v>216160.79859457305</v>
      </c>
      <c r="O57" s="34">
        <f t="shared" si="17"/>
        <v>1621.8715728488239</v>
      </c>
      <c r="P57" s="34">
        <f t="shared" si="28"/>
        <v>214538.92702172423</v>
      </c>
      <c r="Q57" s="116">
        <f t="shared" si="29"/>
        <v>26.438633887844126</v>
      </c>
      <c r="R57" s="30">
        <f t="shared" si="4"/>
        <v>0.78009839216549215</v>
      </c>
      <c r="S57" s="56">
        <f t="shared" si="18"/>
        <v>14.884891880407711</v>
      </c>
      <c r="T57" s="35">
        <f t="shared" si="5"/>
        <v>0.43919365398081434</v>
      </c>
      <c r="U57" s="14"/>
      <c r="V57" s="57">
        <f t="shared" si="6"/>
        <v>2069</v>
      </c>
      <c r="W57" s="17">
        <v>29443389.43</v>
      </c>
      <c r="X57" s="17">
        <f t="shared" si="15"/>
        <v>109833202.58635563</v>
      </c>
      <c r="Y57" s="102">
        <f t="shared" si="30"/>
        <v>139276592.01635563</v>
      </c>
      <c r="Z57" s="14"/>
      <c r="AC57" s="11"/>
      <c r="AD57" s="11"/>
    </row>
    <row r="58" spans="1:30" ht="15.75" thickBot="1">
      <c r="A58" s="29">
        <f t="shared" si="7"/>
        <v>2070</v>
      </c>
      <c r="B58" s="92">
        <f t="shared" si="19"/>
        <v>2.7284021313488241E-2</v>
      </c>
      <c r="C58" s="34">
        <f>'Fixed Costs - TRC'!L55*1000</f>
        <v>19998476.579057235</v>
      </c>
      <c r="D58" s="100">
        <v>26923.484671332568</v>
      </c>
      <c r="E58" s="100">
        <v>15004.686679506161</v>
      </c>
      <c r="F58" s="100">
        <v>-12270.769317224007</v>
      </c>
      <c r="G58" s="34">
        <f>'Fixed Costs - TRC'!G55*1000</f>
        <v>6067787.7650146522</v>
      </c>
      <c r="H58" s="38">
        <f t="shared" si="0"/>
        <v>6097445.1670482671</v>
      </c>
      <c r="I58" s="180">
        <f t="shared" si="25"/>
        <v>109833.20258635563</v>
      </c>
      <c r="J58" s="180">
        <f t="shared" si="26"/>
        <v>29443.389429999999</v>
      </c>
      <c r="K58" s="83">
        <v>31224042.819900218</v>
      </c>
      <c r="L58" s="34">
        <f t="shared" si="27"/>
        <v>31363319.411916573</v>
      </c>
      <c r="M58" s="34">
        <f t="shared" si="1"/>
        <v>57459241.158022076</v>
      </c>
      <c r="N58" s="34">
        <f>NEL!B51/1000</f>
        <v>218271.80276202236</v>
      </c>
      <c r="O58" s="34">
        <f t="shared" si="17"/>
        <v>1621.8715728488239</v>
      </c>
      <c r="P58" s="34">
        <f t="shared" si="28"/>
        <v>216649.93118917354</v>
      </c>
      <c r="Q58" s="116">
        <f t="shared" si="29"/>
        <v>26.521698318865397</v>
      </c>
      <c r="R58" s="30">
        <f t="shared" si="4"/>
        <v>0.72361858220182873</v>
      </c>
      <c r="S58" s="56">
        <f t="shared" si="18"/>
        <v>14.884891880407711</v>
      </c>
      <c r="T58" s="35">
        <f t="shared" si="5"/>
        <v>0.40611970731401204</v>
      </c>
      <c r="U58" s="14"/>
      <c r="V58" s="57">
        <f t="shared" si="6"/>
        <v>2070</v>
      </c>
      <c r="W58" s="17">
        <v>29443389.43</v>
      </c>
      <c r="X58" s="17">
        <f t="shared" si="15"/>
        <v>109833202.58635563</v>
      </c>
      <c r="Y58" s="165">
        <f t="shared" si="30"/>
        <v>139276592.01635563</v>
      </c>
      <c r="Z58" s="14"/>
      <c r="AC58" s="11"/>
      <c r="AD58" s="11"/>
    </row>
    <row r="59" spans="1:30" ht="15.75" thickBot="1">
      <c r="A59" s="26"/>
      <c r="B59" s="8"/>
      <c r="C59" s="17"/>
      <c r="D59" s="17"/>
      <c r="E59" s="17"/>
      <c r="F59" s="17"/>
      <c r="G59" s="17"/>
      <c r="H59" s="8"/>
      <c r="I59" s="181"/>
      <c r="J59" s="181"/>
      <c r="K59" s="8"/>
      <c r="L59" s="8"/>
      <c r="R59" s="103">
        <f>SUM(R12:R58)</f>
        <v>192.67180059622095</v>
      </c>
      <c r="T59" s="103">
        <f>SUM(T12:T58)</f>
        <v>192.67179999999999</v>
      </c>
      <c r="U59" s="21"/>
      <c r="V59" s="21"/>
      <c r="W59" s="110">
        <f>NPV($B$11,W13:W58)+W12</f>
        <v>381118713.19979566</v>
      </c>
      <c r="X59" s="111">
        <f>NPV($B$11,X13:X58)+X12</f>
        <v>1421693957.3428833</v>
      </c>
      <c r="Y59" s="111">
        <f>NPV($B$11,Y13:Y58)+Y12</f>
        <v>1802812670.5426798</v>
      </c>
      <c r="Z59" s="21"/>
    </row>
    <row r="60" spans="1:30" ht="15.75" thickBot="1">
      <c r="B60" s="8"/>
      <c r="C60" s="8"/>
      <c r="D60" s="8"/>
      <c r="E60" s="8"/>
      <c r="F60" s="8"/>
      <c r="G60" s="8"/>
      <c r="H60" s="8"/>
      <c r="I60" s="181"/>
      <c r="J60" s="181"/>
      <c r="K60" s="8"/>
      <c r="L60" s="8"/>
    </row>
    <row r="61" spans="1:30" ht="15.75" thickBot="1">
      <c r="A61" s="94" t="s">
        <v>65</v>
      </c>
      <c r="B61" s="9"/>
      <c r="C61" s="9"/>
      <c r="D61" s="9"/>
      <c r="E61" s="9"/>
      <c r="F61" s="9"/>
      <c r="G61" s="9"/>
      <c r="H61" s="9"/>
      <c r="I61" s="182"/>
      <c r="J61" s="182"/>
      <c r="K61" s="9"/>
      <c r="L61" s="9"/>
      <c r="M61" s="10"/>
      <c r="N61" s="10"/>
      <c r="O61" s="10"/>
      <c r="P61" s="10"/>
      <c r="Q61" s="10"/>
      <c r="R61" s="59">
        <f>S12</f>
        <v>14.884891880407711</v>
      </c>
    </row>
    <row r="62" spans="1:30">
      <c r="R62" s="7"/>
    </row>
    <row r="63" spans="1:30">
      <c r="A63" s="22"/>
      <c r="B63" s="12"/>
      <c r="C63" s="12"/>
      <c r="D63" s="12"/>
      <c r="E63" s="12"/>
      <c r="F63" s="12"/>
      <c r="G63" s="12"/>
      <c r="H63" s="19"/>
      <c r="I63" s="183"/>
      <c r="J63" s="183"/>
      <c r="K63" s="19"/>
      <c r="L63" s="19"/>
      <c r="M63" s="13"/>
    </row>
    <row r="66" spans="2:2">
      <c r="B66" s="18"/>
    </row>
  </sheetData>
  <mergeCells count="1">
    <mergeCell ref="A4:T4"/>
  </mergeCells>
  <phoneticPr fontId="14" type="noConversion"/>
  <printOptions horizontalCentered="1"/>
  <pageMargins left="0.25" right="0.25" top="0.75" bottom="0.25" header="0.5" footer="0.5"/>
  <pageSetup scale="33" orientation="landscape" r:id="rId1"/>
  <headerFooter alignWithMargins="0"/>
  <ignoredErrors>
    <ignoredError sqref="E11:F11 C11:D11 G11:M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55"/>
  <sheetViews>
    <sheetView showGridLines="0" zoomScale="75" workbookViewId="0">
      <selection activeCell="A2" sqref="A2"/>
    </sheetView>
  </sheetViews>
  <sheetFormatPr defaultRowHeight="12.75"/>
  <cols>
    <col min="1" max="1" width="3.85546875" style="61" customWidth="1"/>
    <col min="2" max="2" width="8.140625" style="62" bestFit="1" customWidth="1"/>
    <col min="3" max="3" width="9" style="61" customWidth="1"/>
    <col min="4" max="4" width="12.28515625" style="61" bestFit="1" customWidth="1"/>
    <col min="5" max="5" width="14.28515625" style="61" bestFit="1" customWidth="1"/>
    <col min="6" max="6" width="17.140625" style="61" bestFit="1" customWidth="1"/>
    <col min="7" max="11" width="12.28515625" style="61" customWidth="1"/>
    <col min="12" max="12" width="15.7109375" style="61" customWidth="1"/>
    <col min="13" max="13" width="12.28515625" style="184" customWidth="1"/>
    <col min="14" max="14" width="15" style="61" customWidth="1"/>
    <col min="15" max="17" width="12.28515625" style="61" customWidth="1"/>
    <col min="18" max="16384" width="9.140625" style="61"/>
  </cols>
  <sheetData>
    <row r="1" spans="1:17">
      <c r="A1" s="196" t="s">
        <v>83</v>
      </c>
    </row>
    <row r="2" spans="1:17" ht="13.5" thickBot="1">
      <c r="A2" s="196" t="s">
        <v>81</v>
      </c>
      <c r="K2" s="105"/>
    </row>
    <row r="3" spans="1:17" ht="33" customHeight="1" thickBot="1">
      <c r="B3" s="63"/>
      <c r="C3" s="64" t="s">
        <v>48</v>
      </c>
      <c r="D3" s="64"/>
      <c r="E3" s="64"/>
      <c r="F3" s="64"/>
      <c r="G3" s="65" t="s">
        <v>79</v>
      </c>
      <c r="H3" s="65"/>
      <c r="I3" s="66"/>
      <c r="J3" s="66"/>
      <c r="K3" s="106"/>
      <c r="L3" s="106"/>
      <c r="M3" s="185" t="s">
        <v>49</v>
      </c>
      <c r="N3" s="67">
        <v>45365</v>
      </c>
      <c r="O3" s="68"/>
      <c r="P3" s="68"/>
      <c r="Q3" s="69"/>
    </row>
    <row r="4" spans="1:17" ht="13.5" thickBot="1">
      <c r="C4" s="62"/>
      <c r="D4" s="167" t="s">
        <v>68</v>
      </c>
      <c r="E4" s="168"/>
      <c r="F4" s="169"/>
      <c r="H4" s="170" t="s">
        <v>69</v>
      </c>
      <c r="I4" s="171"/>
      <c r="J4" s="171"/>
      <c r="K4" s="172"/>
      <c r="L4" s="62"/>
      <c r="M4" s="186"/>
    </row>
    <row r="5" spans="1:17">
      <c r="B5" s="70"/>
      <c r="C5" s="71" t="s">
        <v>0</v>
      </c>
      <c r="D5" s="131" t="s">
        <v>4</v>
      </c>
      <c r="E5" s="131" t="s">
        <v>66</v>
      </c>
      <c r="F5" s="131" t="s">
        <v>18</v>
      </c>
      <c r="G5" s="137" t="s">
        <v>1</v>
      </c>
      <c r="H5" s="133"/>
      <c r="I5" s="131"/>
      <c r="J5" s="131"/>
      <c r="K5" s="134"/>
      <c r="L5" s="85" t="s">
        <v>1</v>
      </c>
      <c r="M5" s="187" t="s">
        <v>1</v>
      </c>
      <c r="N5" s="86" t="s">
        <v>2</v>
      </c>
      <c r="O5" s="86" t="s">
        <v>2</v>
      </c>
      <c r="P5" s="62"/>
    </row>
    <row r="6" spans="1:17" ht="32.25" customHeight="1">
      <c r="B6" s="72"/>
      <c r="C6" s="73" t="s">
        <v>3</v>
      </c>
      <c r="D6" s="117" t="s">
        <v>8</v>
      </c>
      <c r="E6" s="117" t="s">
        <v>67</v>
      </c>
      <c r="F6" s="132" t="s">
        <v>53</v>
      </c>
      <c r="G6" s="138" t="s">
        <v>16</v>
      </c>
      <c r="H6" s="135" t="s">
        <v>5</v>
      </c>
      <c r="I6" s="136" t="s">
        <v>15</v>
      </c>
      <c r="J6" s="132" t="s">
        <v>70</v>
      </c>
      <c r="K6" s="132" t="s">
        <v>6</v>
      </c>
      <c r="L6" s="87" t="s">
        <v>71</v>
      </c>
      <c r="M6" s="188" t="s">
        <v>0</v>
      </c>
      <c r="N6" s="88" t="s">
        <v>1</v>
      </c>
      <c r="O6" s="88" t="s">
        <v>7</v>
      </c>
      <c r="P6" s="62"/>
    </row>
    <row r="7" spans="1:17">
      <c r="B7" s="74"/>
      <c r="C7" s="73" t="s">
        <v>50</v>
      </c>
      <c r="D7" s="132" t="s">
        <v>10</v>
      </c>
      <c r="E7" s="132" t="s">
        <v>10</v>
      </c>
      <c r="F7" s="132" t="s">
        <v>10</v>
      </c>
      <c r="G7" s="138" t="s">
        <v>10</v>
      </c>
      <c r="H7" s="135" t="s">
        <v>9</v>
      </c>
      <c r="I7" s="132" t="s">
        <v>10</v>
      </c>
      <c r="J7" s="132" t="s">
        <v>10</v>
      </c>
      <c r="K7" s="132" t="s">
        <v>10</v>
      </c>
      <c r="L7" s="87" t="s">
        <v>10</v>
      </c>
      <c r="M7" s="188" t="s">
        <v>10</v>
      </c>
      <c r="N7" s="88" t="s">
        <v>11</v>
      </c>
      <c r="O7" s="88" t="s">
        <v>12</v>
      </c>
      <c r="P7" s="62"/>
    </row>
    <row r="8" spans="1:17" ht="13.5" thickBot="1">
      <c r="B8" s="72" t="s">
        <v>13</v>
      </c>
      <c r="C8" s="142">
        <v>8.1438910919999996E-2</v>
      </c>
      <c r="D8" s="132" t="s">
        <v>14</v>
      </c>
      <c r="E8" s="132" t="s">
        <v>14</v>
      </c>
      <c r="F8" s="132" t="s">
        <v>14</v>
      </c>
      <c r="G8" s="138" t="s">
        <v>14</v>
      </c>
      <c r="H8" s="135" t="s">
        <v>14</v>
      </c>
      <c r="I8" s="132" t="s">
        <v>14</v>
      </c>
      <c r="J8" s="132" t="s">
        <v>14</v>
      </c>
      <c r="K8" s="143" t="s">
        <v>14</v>
      </c>
      <c r="L8" s="144" t="s">
        <v>14</v>
      </c>
      <c r="M8" s="189" t="s">
        <v>14</v>
      </c>
      <c r="N8" s="145" t="s">
        <v>14</v>
      </c>
      <c r="O8" s="146" t="s">
        <v>14</v>
      </c>
      <c r="P8" s="62"/>
    </row>
    <row r="9" spans="1:17">
      <c r="A9" s="61">
        <v>1</v>
      </c>
      <c r="B9" s="147">
        <v>2024</v>
      </c>
      <c r="C9" s="148">
        <v>1</v>
      </c>
      <c r="D9" s="149">
        <v>160.16651562499999</v>
      </c>
      <c r="E9" s="149">
        <v>3.4924339599609402</v>
      </c>
      <c r="F9" s="149">
        <v>9.0336533355712891</v>
      </c>
      <c r="G9" s="150">
        <f>SUM(D9:F9)</f>
        <v>172.69260292053224</v>
      </c>
      <c r="H9" s="151">
        <v>2539.1508550786998</v>
      </c>
      <c r="I9" s="152">
        <v>117.292882135391</v>
      </c>
      <c r="J9" s="152">
        <v>41.636285227179499</v>
      </c>
      <c r="K9" s="153">
        <v>0.54329065331770099</v>
      </c>
      <c r="L9" s="154">
        <f>SUM(H9:K9)</f>
        <v>2698.6233130945884</v>
      </c>
      <c r="M9" s="190">
        <f>L9+G9</f>
        <v>2871.3159160151208</v>
      </c>
      <c r="N9" s="155">
        <f>M9*C9</f>
        <v>2871.3159160151208</v>
      </c>
      <c r="O9" s="156">
        <f>N9</f>
        <v>2871.3159160151208</v>
      </c>
      <c r="P9" s="157">
        <v>2024</v>
      </c>
    </row>
    <row r="10" spans="1:17">
      <c r="A10" s="61">
        <v>2</v>
      </c>
      <c r="B10" s="113">
        <v>2025</v>
      </c>
      <c r="C10" s="75">
        <v>0.92822505603856131</v>
      </c>
      <c r="D10" s="121">
        <v>337.48591498947098</v>
      </c>
      <c r="E10" s="121">
        <v>12.8770021286011</v>
      </c>
      <c r="F10" s="121">
        <v>14.6555814666748</v>
      </c>
      <c r="G10" s="118">
        <f t="shared" ref="G10:G55" si="0">SUM(D10:F10)</f>
        <v>365.01849858474685</v>
      </c>
      <c r="H10" s="124">
        <v>2820.9674488620799</v>
      </c>
      <c r="I10" s="125">
        <v>128.21629479408301</v>
      </c>
      <c r="J10" s="126">
        <v>-105.33906670530099</v>
      </c>
      <c r="K10" s="127">
        <v>0.555333118548617</v>
      </c>
      <c r="L10" s="77">
        <f>SUM(H10:K10)</f>
        <v>2844.4000100694107</v>
      </c>
      <c r="M10" s="191">
        <f t="shared" ref="M10:M55" si="1">L10+G10</f>
        <v>3209.4185086541574</v>
      </c>
      <c r="N10" s="78">
        <f t="shared" ref="N10:N55" si="2">M10*C10</f>
        <v>2979.0626750467013</v>
      </c>
      <c r="O10" s="76">
        <f>O9+N10</f>
        <v>5850.3785910618226</v>
      </c>
      <c r="P10" s="158">
        <v>2025</v>
      </c>
    </row>
    <row r="11" spans="1:17">
      <c r="A11" s="61">
        <v>3</v>
      </c>
      <c r="B11" s="113">
        <v>2026</v>
      </c>
      <c r="C11" s="75">
        <v>0.86160175465779032</v>
      </c>
      <c r="D11" s="121">
        <v>885.25376757812501</v>
      </c>
      <c r="E11" s="121">
        <v>34.996137634277297</v>
      </c>
      <c r="F11" s="121">
        <v>81.827287292480506</v>
      </c>
      <c r="G11" s="118">
        <f t="shared" si="0"/>
        <v>1002.0771925048828</v>
      </c>
      <c r="H11" s="124">
        <v>3164.5101836566901</v>
      </c>
      <c r="I11" s="125">
        <v>147.62175085544601</v>
      </c>
      <c r="J11" s="126">
        <v>-360.41198145785899</v>
      </c>
      <c r="K11" s="127">
        <v>0.52489695341838505</v>
      </c>
      <c r="L11" s="77">
        <f t="shared" ref="L11:L55" si="3">SUM(H11:K11)</f>
        <v>2952.2448500076953</v>
      </c>
      <c r="M11" s="191">
        <f t="shared" si="1"/>
        <v>3954.3220425125783</v>
      </c>
      <c r="N11" s="78">
        <f t="shared" si="2"/>
        <v>3407.0508103108145</v>
      </c>
      <c r="O11" s="76">
        <f t="shared" ref="O11:O55" si="4">O10+N11</f>
        <v>9257.4294013726376</v>
      </c>
      <c r="P11" s="158">
        <v>2026</v>
      </c>
    </row>
    <row r="12" spans="1:17">
      <c r="A12" s="61">
        <v>4</v>
      </c>
      <c r="B12" s="113">
        <v>2027</v>
      </c>
      <c r="C12" s="75">
        <v>0.79976033700015015</v>
      </c>
      <c r="D12" s="121">
        <v>1323.47532910156</v>
      </c>
      <c r="E12" s="121">
        <v>48.625243347168002</v>
      </c>
      <c r="F12" s="121">
        <v>146.326439186096</v>
      </c>
      <c r="G12" s="118">
        <f t="shared" si="0"/>
        <v>1518.4270116348239</v>
      </c>
      <c r="H12" s="124">
        <v>2983.1399430465699</v>
      </c>
      <c r="I12" s="125">
        <v>154.76360372161901</v>
      </c>
      <c r="J12" s="126">
        <v>-617.25602317529899</v>
      </c>
      <c r="K12" s="127">
        <v>0.50991762801818596</v>
      </c>
      <c r="L12" s="77">
        <f t="shared" si="3"/>
        <v>2521.1574412209079</v>
      </c>
      <c r="M12" s="191">
        <f t="shared" si="1"/>
        <v>4039.5844528557318</v>
      </c>
      <c r="N12" s="78">
        <f t="shared" si="2"/>
        <v>3230.6994233564674</v>
      </c>
      <c r="O12" s="76">
        <f t="shared" si="4"/>
        <v>12488.128824729105</v>
      </c>
      <c r="P12" s="158">
        <v>2027</v>
      </c>
    </row>
    <row r="13" spans="1:17">
      <c r="A13" s="61">
        <v>5</v>
      </c>
      <c r="B13" s="113">
        <v>2028</v>
      </c>
      <c r="C13" s="75">
        <v>0.74235758362938309</v>
      </c>
      <c r="D13" s="121">
        <v>1729.49853808594</v>
      </c>
      <c r="E13" s="121">
        <v>62.418831848144499</v>
      </c>
      <c r="F13" s="121">
        <v>208.30612593841599</v>
      </c>
      <c r="G13" s="118">
        <f t="shared" si="0"/>
        <v>2000.2234958725005</v>
      </c>
      <c r="H13" s="124">
        <v>3024.6383764400498</v>
      </c>
      <c r="I13" s="125">
        <v>168.30544766616799</v>
      </c>
      <c r="J13" s="126">
        <v>-859.68069937861003</v>
      </c>
      <c r="K13" s="127">
        <v>0.47597679885942501</v>
      </c>
      <c r="L13" s="77">
        <f t="shared" si="3"/>
        <v>2333.7391015264675</v>
      </c>
      <c r="M13" s="191">
        <f t="shared" si="1"/>
        <v>4333.9625973989678</v>
      </c>
      <c r="N13" s="78">
        <f t="shared" si="2"/>
        <v>3217.3500013452226</v>
      </c>
      <c r="O13" s="76">
        <f t="shared" si="4"/>
        <v>15705.478826074328</v>
      </c>
      <c r="P13" s="158">
        <v>2028</v>
      </c>
    </row>
    <row r="14" spans="1:17">
      <c r="A14" s="61">
        <v>6</v>
      </c>
      <c r="B14" s="113">
        <v>2029</v>
      </c>
      <c r="C14" s="75">
        <v>0.68907490966503504</v>
      </c>
      <c r="D14" s="121">
        <v>2107.7627246093698</v>
      </c>
      <c r="E14" s="121">
        <v>94.506751770019505</v>
      </c>
      <c r="F14" s="121">
        <v>267.83252113342297</v>
      </c>
      <c r="G14" s="118">
        <f t="shared" si="0"/>
        <v>2470.1019975128124</v>
      </c>
      <c r="H14" s="124">
        <v>3001.3062560768099</v>
      </c>
      <c r="I14" s="125">
        <v>195.05507252121001</v>
      </c>
      <c r="J14" s="126">
        <v>-1138.3264131825599</v>
      </c>
      <c r="K14" s="127">
        <v>0.42167712634615601</v>
      </c>
      <c r="L14" s="77">
        <f t="shared" si="3"/>
        <v>2058.4565925418065</v>
      </c>
      <c r="M14" s="191">
        <f t="shared" si="1"/>
        <v>4528.5585900546193</v>
      </c>
      <c r="N14" s="78">
        <f t="shared" si="2"/>
        <v>3120.5161013547054</v>
      </c>
      <c r="O14" s="76">
        <f t="shared" si="4"/>
        <v>18825.994927429034</v>
      </c>
      <c r="P14" s="158">
        <v>2029</v>
      </c>
    </row>
    <row r="15" spans="1:17">
      <c r="A15" s="61">
        <v>7</v>
      </c>
      <c r="B15" s="113">
        <v>2030</v>
      </c>
      <c r="C15" s="75">
        <v>0.63961659663859372</v>
      </c>
      <c r="D15" s="121">
        <v>2465.6974228515601</v>
      </c>
      <c r="E15" s="121">
        <v>92.799867980957004</v>
      </c>
      <c r="F15" s="121">
        <v>325.09667314147902</v>
      </c>
      <c r="G15" s="118">
        <f t="shared" si="0"/>
        <v>2883.5939639739963</v>
      </c>
      <c r="H15" s="124">
        <v>2769.31970527363</v>
      </c>
      <c r="I15" s="125">
        <v>203.79655087852501</v>
      </c>
      <c r="J15" s="126">
        <v>-1434.7387829750201</v>
      </c>
      <c r="K15" s="127">
        <v>0.40146892306138798</v>
      </c>
      <c r="L15" s="77">
        <f t="shared" si="3"/>
        <v>1538.7789421001964</v>
      </c>
      <c r="M15" s="191">
        <f t="shared" si="1"/>
        <v>4422.3729060741925</v>
      </c>
      <c r="N15" s="78">
        <f t="shared" si="2"/>
        <v>2828.6231072499022</v>
      </c>
      <c r="O15" s="76">
        <f t="shared" si="4"/>
        <v>21654.618034678937</v>
      </c>
      <c r="P15" s="158">
        <v>2030</v>
      </c>
    </row>
    <row r="16" spans="1:17">
      <c r="A16" s="61">
        <v>8</v>
      </c>
      <c r="B16" s="113">
        <v>2031</v>
      </c>
      <c r="C16" s="75">
        <v>0.59370815125805254</v>
      </c>
      <c r="D16" s="121">
        <v>2805.11061572266</v>
      </c>
      <c r="E16" s="121">
        <v>114.09696295166</v>
      </c>
      <c r="F16" s="121">
        <v>380.14100508499098</v>
      </c>
      <c r="G16" s="118">
        <f t="shared" si="0"/>
        <v>3299.3485837593107</v>
      </c>
      <c r="H16" s="124">
        <v>2661.8189569978699</v>
      </c>
      <c r="I16" s="125">
        <v>229.52659106445299</v>
      </c>
      <c r="J16" s="126">
        <v>-1743.6635945243199</v>
      </c>
      <c r="K16" s="127">
        <v>0.39702011413453098</v>
      </c>
      <c r="L16" s="77">
        <f t="shared" si="3"/>
        <v>1148.0789736521374</v>
      </c>
      <c r="M16" s="191">
        <f t="shared" si="1"/>
        <v>4447.4275574114481</v>
      </c>
      <c r="N16" s="78">
        <f t="shared" si="2"/>
        <v>2640.4739929648672</v>
      </c>
      <c r="O16" s="76">
        <f t="shared" si="4"/>
        <v>24295.092027643805</v>
      </c>
      <c r="P16" s="158">
        <v>2031</v>
      </c>
    </row>
    <row r="17" spans="1:16">
      <c r="A17" s="61">
        <v>9</v>
      </c>
      <c r="B17" s="113">
        <v>2032</v>
      </c>
      <c r="C17" s="75">
        <v>0.55109478197205641</v>
      </c>
      <c r="D17" s="121">
        <v>3129.90890283203</v>
      </c>
      <c r="E17" s="121">
        <v>147.68180822753899</v>
      </c>
      <c r="F17" s="121">
        <v>433.055687019348</v>
      </c>
      <c r="G17" s="118">
        <f t="shared" si="0"/>
        <v>3710.6463980789172</v>
      </c>
      <c r="H17" s="124">
        <v>2622.1247140083301</v>
      </c>
      <c r="I17" s="125">
        <v>263.80644193267801</v>
      </c>
      <c r="J17" s="126">
        <v>-1990.9669223921301</v>
      </c>
      <c r="K17" s="127">
        <v>0.39572645465331202</v>
      </c>
      <c r="L17" s="77">
        <f t="shared" si="3"/>
        <v>895.35996000353123</v>
      </c>
      <c r="M17" s="191">
        <f t="shared" si="1"/>
        <v>4606.0063580824481</v>
      </c>
      <c r="N17" s="78">
        <f t="shared" si="2"/>
        <v>2538.3460696693523</v>
      </c>
      <c r="O17" s="76">
        <f t="shared" si="4"/>
        <v>26833.438097313156</v>
      </c>
      <c r="P17" s="158">
        <v>2032</v>
      </c>
    </row>
    <row r="18" spans="1:16">
      <c r="A18" s="61">
        <v>10</v>
      </c>
      <c r="B18" s="113">
        <v>2033</v>
      </c>
      <c r="C18" s="75">
        <v>0.51153998487857077</v>
      </c>
      <c r="D18" s="121">
        <v>3440.2956875</v>
      </c>
      <c r="E18" s="121">
        <v>151.23191870117199</v>
      </c>
      <c r="F18" s="121">
        <v>483.829429347992</v>
      </c>
      <c r="G18" s="118">
        <f t="shared" si="0"/>
        <v>4075.3570355491643</v>
      </c>
      <c r="H18" s="124">
        <v>2663.7903111762998</v>
      </c>
      <c r="I18" s="125">
        <v>300.235372753143</v>
      </c>
      <c r="J18" s="126">
        <v>-2171.8809222500299</v>
      </c>
      <c r="K18" s="127">
        <v>0.38927743516024199</v>
      </c>
      <c r="L18" s="77">
        <f t="shared" si="3"/>
        <v>792.53403911457326</v>
      </c>
      <c r="M18" s="191">
        <f t="shared" si="1"/>
        <v>4867.8910746637375</v>
      </c>
      <c r="N18" s="78">
        <f t="shared" si="2"/>
        <v>2490.1209267240179</v>
      </c>
      <c r="O18" s="76">
        <f t="shared" si="4"/>
        <v>29323.559024037175</v>
      </c>
      <c r="P18" s="158">
        <v>2033</v>
      </c>
    </row>
    <row r="19" spans="1:16">
      <c r="A19" s="61">
        <v>11</v>
      </c>
      <c r="B19" s="113">
        <v>2034</v>
      </c>
      <c r="C19" s="75">
        <v>0.47482423112987615</v>
      </c>
      <c r="D19" s="121">
        <v>3877.03862695313</v>
      </c>
      <c r="E19" s="121">
        <v>182.14712664794899</v>
      </c>
      <c r="F19" s="121">
        <v>502.94195565414401</v>
      </c>
      <c r="G19" s="118">
        <f t="shared" si="0"/>
        <v>4562.1277092552227</v>
      </c>
      <c r="H19" s="124">
        <v>2731.43477292633</v>
      </c>
      <c r="I19" s="125">
        <v>190.941386587143</v>
      </c>
      <c r="J19" s="126">
        <v>-2056.9281272216399</v>
      </c>
      <c r="K19" s="127">
        <v>0.348870408946648</v>
      </c>
      <c r="L19" s="77">
        <f t="shared" si="3"/>
        <v>865.79690270077958</v>
      </c>
      <c r="M19" s="191">
        <f t="shared" si="1"/>
        <v>5427.9246119560021</v>
      </c>
      <c r="N19" s="78">
        <f t="shared" si="2"/>
        <v>2577.31013050294</v>
      </c>
      <c r="O19" s="76">
        <f t="shared" si="4"/>
        <v>31900.869154540116</v>
      </c>
      <c r="P19" s="158">
        <v>2034</v>
      </c>
    </row>
    <row r="20" spans="1:16">
      <c r="A20" s="61">
        <v>12</v>
      </c>
      <c r="B20" s="113">
        <v>2035</v>
      </c>
      <c r="C20" s="75">
        <v>0.44074374854899606</v>
      </c>
      <c r="D20" s="121">
        <v>3714.8055932617199</v>
      </c>
      <c r="E20" s="121">
        <v>201.016522949219</v>
      </c>
      <c r="F20" s="121">
        <v>484.786040019989</v>
      </c>
      <c r="G20" s="118">
        <f t="shared" si="0"/>
        <v>4400.6081562309282</v>
      </c>
      <c r="H20" s="124">
        <v>2963.7296803169302</v>
      </c>
      <c r="I20" s="125">
        <v>201.850888520241</v>
      </c>
      <c r="J20" s="126">
        <v>-1916.7213303428</v>
      </c>
      <c r="K20" s="127">
        <v>0.359750611907802</v>
      </c>
      <c r="L20" s="77">
        <f t="shared" si="3"/>
        <v>1249.218989106279</v>
      </c>
      <c r="M20" s="191">
        <f t="shared" si="1"/>
        <v>5649.8271453372072</v>
      </c>
      <c r="N20" s="78">
        <f t="shared" si="2"/>
        <v>2490.1259946897944</v>
      </c>
      <c r="O20" s="76">
        <f t="shared" si="4"/>
        <v>34390.995149229908</v>
      </c>
      <c r="P20" s="158">
        <v>2035</v>
      </c>
    </row>
    <row r="21" spans="1:16">
      <c r="A21" s="61">
        <v>13</v>
      </c>
      <c r="B21" s="113">
        <v>2036</v>
      </c>
      <c r="C21" s="75">
        <v>0.40910939069553742</v>
      </c>
      <c r="D21" s="121">
        <v>3572.9042163085901</v>
      </c>
      <c r="E21" s="121">
        <v>184.83701516723599</v>
      </c>
      <c r="F21" s="121">
        <v>466.75137991714502</v>
      </c>
      <c r="G21" s="118">
        <f t="shared" si="0"/>
        <v>4224.4926113929714</v>
      </c>
      <c r="H21" s="124">
        <v>3182.3832571811699</v>
      </c>
      <c r="I21" s="125">
        <v>212.24503379631</v>
      </c>
      <c r="J21" s="126">
        <v>-1750.6039567185801</v>
      </c>
      <c r="K21" s="127">
        <v>93.017564247026996</v>
      </c>
      <c r="L21" s="77">
        <f t="shared" si="3"/>
        <v>1737.0418985059268</v>
      </c>
      <c r="M21" s="191">
        <f t="shared" si="1"/>
        <v>5961.5345098988982</v>
      </c>
      <c r="N21" s="78">
        <f t="shared" si="2"/>
        <v>2438.9197509551577</v>
      </c>
      <c r="O21" s="76">
        <f t="shared" si="4"/>
        <v>36829.914900185067</v>
      </c>
      <c r="P21" s="158">
        <v>2036</v>
      </c>
    </row>
    <row r="22" spans="1:16">
      <c r="A22" s="61">
        <v>14</v>
      </c>
      <c r="B22" s="113">
        <v>2037</v>
      </c>
      <c r="C22" s="75">
        <v>0.37974558710426687</v>
      </c>
      <c r="D22" s="121">
        <v>3551.97840380859</v>
      </c>
      <c r="E22" s="121">
        <v>198.57324652099601</v>
      </c>
      <c r="F22" s="121">
        <v>459.61128752136199</v>
      </c>
      <c r="G22" s="118">
        <f t="shared" si="0"/>
        <v>4210.1629378509479</v>
      </c>
      <c r="H22" s="124">
        <v>3379.6013501818502</v>
      </c>
      <c r="I22" s="125">
        <v>214.846406621933</v>
      </c>
      <c r="J22" s="126">
        <v>-1489.22380440497</v>
      </c>
      <c r="K22" s="127">
        <v>193.38451464744</v>
      </c>
      <c r="L22" s="77">
        <f t="shared" si="3"/>
        <v>2298.6084670462533</v>
      </c>
      <c r="M22" s="191">
        <f t="shared" si="1"/>
        <v>6508.7714048972011</v>
      </c>
      <c r="N22" s="78">
        <f t="shared" si="2"/>
        <v>2471.6772184801516</v>
      </c>
      <c r="O22" s="76">
        <f t="shared" si="4"/>
        <v>39301.592118665219</v>
      </c>
      <c r="P22" s="158">
        <v>2037</v>
      </c>
    </row>
    <row r="23" spans="1:16">
      <c r="A23" s="61">
        <v>15</v>
      </c>
      <c r="B23" s="114">
        <v>2038</v>
      </c>
      <c r="C23" s="79">
        <v>0.35248936887025445</v>
      </c>
      <c r="D23" s="121">
        <v>3800.9212441406198</v>
      </c>
      <c r="E23" s="121">
        <v>256.42933935546898</v>
      </c>
      <c r="F23" s="121">
        <v>452.85396628570601</v>
      </c>
      <c r="G23" s="118">
        <f t="shared" si="0"/>
        <v>4510.2045497817944</v>
      </c>
      <c r="H23" s="124">
        <v>3605.4785514068599</v>
      </c>
      <c r="I23" s="125">
        <v>221.326787446976</v>
      </c>
      <c r="J23" s="126">
        <v>-1219.24209204826</v>
      </c>
      <c r="K23" s="127">
        <v>304.44166465878499</v>
      </c>
      <c r="L23" s="77">
        <f t="shared" si="3"/>
        <v>2912.0049114643612</v>
      </c>
      <c r="M23" s="191">
        <f t="shared" si="1"/>
        <v>7422.2094612461551</v>
      </c>
      <c r="N23" s="78">
        <f t="shared" si="2"/>
        <v>2616.2499286174884</v>
      </c>
      <c r="O23" s="76">
        <f t="shared" si="4"/>
        <v>41917.842047282706</v>
      </c>
      <c r="P23" s="158">
        <v>2038</v>
      </c>
    </row>
    <row r="24" spans="1:16">
      <c r="A24" s="61">
        <v>16</v>
      </c>
      <c r="B24" s="113">
        <v>2039</v>
      </c>
      <c r="C24" s="75">
        <v>0.32718946417258904</v>
      </c>
      <c r="D24" s="121">
        <v>3793.8657900390599</v>
      </c>
      <c r="E24" s="121">
        <v>243.25484997558601</v>
      </c>
      <c r="F24" s="121">
        <v>446.260446090698</v>
      </c>
      <c r="G24" s="118">
        <f t="shared" si="0"/>
        <v>4483.3810861053435</v>
      </c>
      <c r="H24" s="124">
        <v>3802.79153811264</v>
      </c>
      <c r="I24" s="125">
        <v>223.94922689056401</v>
      </c>
      <c r="J24" s="126">
        <v>-938.72085540083003</v>
      </c>
      <c r="K24" s="127">
        <v>424.26390842556998</v>
      </c>
      <c r="L24" s="77">
        <f t="shared" si="3"/>
        <v>3512.2838180279441</v>
      </c>
      <c r="M24" s="191">
        <f t="shared" si="1"/>
        <v>7995.6649041332876</v>
      </c>
      <c r="N24" s="78">
        <f t="shared" si="2"/>
        <v>2616.0973156869459</v>
      </c>
      <c r="O24" s="76">
        <f t="shared" si="4"/>
        <v>44533.93936296965</v>
      </c>
      <c r="P24" s="158">
        <v>2039</v>
      </c>
    </row>
    <row r="25" spans="1:16">
      <c r="A25" s="61">
        <v>17</v>
      </c>
      <c r="B25" s="113">
        <v>2040</v>
      </c>
      <c r="C25" s="75">
        <v>0.3037054587168283</v>
      </c>
      <c r="D25" s="121">
        <v>3793.0492163085901</v>
      </c>
      <c r="E25" s="121">
        <v>261.11294677734401</v>
      </c>
      <c r="F25" s="121">
        <v>439.85688928222697</v>
      </c>
      <c r="G25" s="118">
        <f t="shared" si="0"/>
        <v>4494.0190523681613</v>
      </c>
      <c r="H25" s="124">
        <v>4108.6786426353501</v>
      </c>
      <c r="I25" s="125">
        <v>234.69830459785501</v>
      </c>
      <c r="J25" s="126">
        <v>-650.92410806709495</v>
      </c>
      <c r="K25" s="127">
        <v>546.63805348563199</v>
      </c>
      <c r="L25" s="77">
        <f t="shared" si="3"/>
        <v>4239.0908926517423</v>
      </c>
      <c r="M25" s="191">
        <f t="shared" si="1"/>
        <v>8733.1099450199035</v>
      </c>
      <c r="N25" s="78">
        <f t="shared" si="2"/>
        <v>2652.2931618767652</v>
      </c>
      <c r="O25" s="76">
        <f t="shared" si="4"/>
        <v>47186.232524846419</v>
      </c>
      <c r="P25" s="158">
        <v>2040</v>
      </c>
    </row>
    <row r="26" spans="1:16">
      <c r="A26" s="61">
        <v>18</v>
      </c>
      <c r="B26" s="113">
        <v>2041</v>
      </c>
      <c r="C26" s="75">
        <v>0.2819070164366449</v>
      </c>
      <c r="D26" s="121">
        <v>3793.4037763671899</v>
      </c>
      <c r="E26" s="121">
        <v>303.99795831298798</v>
      </c>
      <c r="F26" s="121">
        <v>433.71912283325202</v>
      </c>
      <c r="G26" s="118">
        <f t="shared" si="0"/>
        <v>4531.1208575134297</v>
      </c>
      <c r="H26" s="124">
        <v>4294.9397643394504</v>
      </c>
      <c r="I26" s="125">
        <v>239.611788925171</v>
      </c>
      <c r="J26" s="126">
        <v>-348.84800508296502</v>
      </c>
      <c r="K26" s="127">
        <v>627.30086948108703</v>
      </c>
      <c r="L26" s="77">
        <f t="shared" si="3"/>
        <v>4813.0044176627434</v>
      </c>
      <c r="M26" s="191">
        <f t="shared" si="1"/>
        <v>9344.1252751761731</v>
      </c>
      <c r="N26" s="78">
        <f t="shared" si="2"/>
        <v>2634.1744775351585</v>
      </c>
      <c r="O26" s="76">
        <f t="shared" si="4"/>
        <v>49820.40700238158</v>
      </c>
      <c r="P26" s="158">
        <v>2041</v>
      </c>
    </row>
    <row r="27" spans="1:16">
      <c r="A27" s="61">
        <v>19</v>
      </c>
      <c r="B27" s="113">
        <v>2042</v>
      </c>
      <c r="C27" s="75">
        <v>0.26167315612956832</v>
      </c>
      <c r="D27" s="121">
        <v>3795.5761269531199</v>
      </c>
      <c r="E27" s="121">
        <v>299.53909765625002</v>
      </c>
      <c r="F27" s="121">
        <v>428.18374315261798</v>
      </c>
      <c r="G27" s="118">
        <f t="shared" si="0"/>
        <v>4523.298967761988</v>
      </c>
      <c r="H27" s="124">
        <v>4508.7335555496202</v>
      </c>
      <c r="I27" s="125">
        <v>245.83349321365401</v>
      </c>
      <c r="J27" s="126">
        <v>-30.954197034359002</v>
      </c>
      <c r="K27" s="127">
        <v>738.88764265775706</v>
      </c>
      <c r="L27" s="77">
        <f t="shared" si="3"/>
        <v>5462.5004943866725</v>
      </c>
      <c r="M27" s="191">
        <f t="shared" si="1"/>
        <v>9985.7994621486614</v>
      </c>
      <c r="N27" s="78">
        <f t="shared" si="2"/>
        <v>2613.0156617373859</v>
      </c>
      <c r="O27" s="76">
        <f t="shared" si="4"/>
        <v>52433.422664118967</v>
      </c>
      <c r="P27" s="158">
        <v>2042</v>
      </c>
    </row>
    <row r="28" spans="1:16">
      <c r="A28" s="61">
        <v>20</v>
      </c>
      <c r="B28" s="114">
        <v>2043</v>
      </c>
      <c r="C28" s="79">
        <v>0.24289158001215574</v>
      </c>
      <c r="D28" s="121">
        <v>3675.2826262207</v>
      </c>
      <c r="E28" s="121">
        <v>312.83118298339798</v>
      </c>
      <c r="F28" s="121">
        <v>410.88023830795299</v>
      </c>
      <c r="G28" s="118">
        <f t="shared" si="0"/>
        <v>4398.9940475120511</v>
      </c>
      <c r="H28" s="124">
        <v>4742.8958754882797</v>
      </c>
      <c r="I28" s="125">
        <v>255.53531963729901</v>
      </c>
      <c r="J28" s="126">
        <v>298.82991941201698</v>
      </c>
      <c r="K28" s="127">
        <v>861.22354030418398</v>
      </c>
      <c r="L28" s="77">
        <f t="shared" si="3"/>
        <v>6158.48465484178</v>
      </c>
      <c r="M28" s="191">
        <f t="shared" si="1"/>
        <v>10557.47870235383</v>
      </c>
      <c r="N28" s="78">
        <f t="shared" si="2"/>
        <v>2564.3226829594055</v>
      </c>
      <c r="O28" s="76">
        <f t="shared" si="4"/>
        <v>54997.745347078373</v>
      </c>
      <c r="P28" s="158">
        <v>2043</v>
      </c>
    </row>
    <row r="29" spans="1:16">
      <c r="A29" s="61">
        <v>21</v>
      </c>
      <c r="B29" s="113">
        <v>2044</v>
      </c>
      <c r="C29" s="75">
        <v>0.22545805046807796</v>
      </c>
      <c r="D29" s="121">
        <v>3681.90058154297</v>
      </c>
      <c r="E29" s="121">
        <v>390.68268707275399</v>
      </c>
      <c r="F29" s="121">
        <v>407.12519713592502</v>
      </c>
      <c r="G29" s="118">
        <f t="shared" si="0"/>
        <v>4479.7084657516489</v>
      </c>
      <c r="H29" s="124">
        <v>5180.7212233123801</v>
      </c>
      <c r="I29" s="125">
        <v>272.51439510726902</v>
      </c>
      <c r="J29" s="126">
        <v>312.80316322952501</v>
      </c>
      <c r="K29" s="127">
        <v>1013.59466212749</v>
      </c>
      <c r="L29" s="77">
        <f t="shared" si="3"/>
        <v>6779.6334437766636</v>
      </c>
      <c r="M29" s="191">
        <f t="shared" si="1"/>
        <v>11259.341909528313</v>
      </c>
      <c r="N29" s="78">
        <f t="shared" si="2"/>
        <v>2538.5092764757796</v>
      </c>
      <c r="O29" s="76">
        <f t="shared" si="4"/>
        <v>57536.254623554152</v>
      </c>
      <c r="P29" s="158">
        <v>2044</v>
      </c>
    </row>
    <row r="30" spans="1:16">
      <c r="A30" s="61">
        <v>22</v>
      </c>
      <c r="B30" s="113">
        <v>2045</v>
      </c>
      <c r="C30" s="75">
        <v>0.20927581153007643</v>
      </c>
      <c r="D30" s="121">
        <v>3688.7503457031198</v>
      </c>
      <c r="E30" s="121">
        <v>353.19457147216798</v>
      </c>
      <c r="F30" s="121">
        <v>404.23503978729201</v>
      </c>
      <c r="G30" s="118">
        <f t="shared" si="0"/>
        <v>4446.17995696258</v>
      </c>
      <c r="H30" s="124">
        <v>5601.6647881927502</v>
      </c>
      <c r="I30" s="125">
        <v>281.55504537200898</v>
      </c>
      <c r="J30" s="126">
        <v>327.567041573018</v>
      </c>
      <c r="K30" s="127">
        <v>1194.8015179076201</v>
      </c>
      <c r="L30" s="77">
        <f t="shared" si="3"/>
        <v>7405.5883930453974</v>
      </c>
      <c r="M30" s="191">
        <f t="shared" si="1"/>
        <v>11851.768350007977</v>
      </c>
      <c r="N30" s="78">
        <f t="shared" si="2"/>
        <v>2480.2884395143942</v>
      </c>
      <c r="O30" s="76">
        <f t="shared" si="4"/>
        <v>60016.543063068544</v>
      </c>
      <c r="P30" s="158">
        <v>2045</v>
      </c>
    </row>
    <row r="31" spans="1:16">
      <c r="A31" s="61">
        <v>23</v>
      </c>
      <c r="B31" s="113">
        <v>2046</v>
      </c>
      <c r="C31" s="75">
        <v>0.1942550518850206</v>
      </c>
      <c r="D31" s="121">
        <v>3547.7001411132801</v>
      </c>
      <c r="E31" s="121">
        <v>401.60142303466802</v>
      </c>
      <c r="F31" s="121">
        <v>388.42813972091699</v>
      </c>
      <c r="G31" s="118">
        <f t="shared" si="0"/>
        <v>4337.7297038688648</v>
      </c>
      <c r="H31" s="124">
        <v>5833.5493928985597</v>
      </c>
      <c r="I31" s="125">
        <v>288.84683592987102</v>
      </c>
      <c r="J31" s="126">
        <v>340.66817488342502</v>
      </c>
      <c r="K31" s="127">
        <v>1351.2684402856801</v>
      </c>
      <c r="L31" s="77">
        <f t="shared" si="3"/>
        <v>7814.3328439975367</v>
      </c>
      <c r="M31" s="191">
        <f t="shared" si="1"/>
        <v>12152.062547866401</v>
      </c>
      <c r="N31" s="78">
        <f t="shared" si="2"/>
        <v>2360.5995407458031</v>
      </c>
      <c r="O31" s="76">
        <f t="shared" si="4"/>
        <v>62377.142603814347</v>
      </c>
      <c r="P31" s="158">
        <v>2046</v>
      </c>
    </row>
    <row r="32" spans="1:16">
      <c r="A32" s="61">
        <v>24</v>
      </c>
      <c r="B32" s="113">
        <v>2047</v>
      </c>
      <c r="C32" s="75">
        <v>0.18031240642174687</v>
      </c>
      <c r="D32" s="121">
        <v>3553.65464538574</v>
      </c>
      <c r="E32" s="121">
        <v>411.87094927978501</v>
      </c>
      <c r="F32" s="121">
        <v>387.139478858948</v>
      </c>
      <c r="G32" s="118">
        <f t="shared" si="0"/>
        <v>4352.665073524473</v>
      </c>
      <c r="H32" s="124">
        <v>6240.2675584869403</v>
      </c>
      <c r="I32" s="125">
        <v>299.77275651931802</v>
      </c>
      <c r="J32" s="126">
        <v>357.51415798777299</v>
      </c>
      <c r="K32" s="127">
        <v>1546.62972928047</v>
      </c>
      <c r="L32" s="77">
        <f t="shared" si="3"/>
        <v>8444.1842022745004</v>
      </c>
      <c r="M32" s="191">
        <f t="shared" si="1"/>
        <v>12796.849275798973</v>
      </c>
      <c r="N32" s="78">
        <f t="shared" si="2"/>
        <v>2307.4306875357015</v>
      </c>
      <c r="O32" s="76">
        <f t="shared" si="4"/>
        <v>64684.573291350047</v>
      </c>
      <c r="P32" s="158">
        <v>2047</v>
      </c>
    </row>
    <row r="33" spans="1:16">
      <c r="A33" s="61">
        <v>25</v>
      </c>
      <c r="B33" s="113">
        <v>2048</v>
      </c>
      <c r="C33" s="75">
        <v>0.16737049355527384</v>
      </c>
      <c r="D33" s="121">
        <v>3562.9696936645501</v>
      </c>
      <c r="E33" s="121">
        <v>433.01259411621101</v>
      </c>
      <c r="F33" s="121">
        <v>386.74076460027698</v>
      </c>
      <c r="G33" s="118">
        <f t="shared" si="0"/>
        <v>4382.7230523810376</v>
      </c>
      <c r="H33" s="124">
        <v>6691.4655202560398</v>
      </c>
      <c r="I33" s="125">
        <v>323.96855188751198</v>
      </c>
      <c r="J33" s="126">
        <v>371.97176348841202</v>
      </c>
      <c r="K33" s="127">
        <v>1761.1126128301601</v>
      </c>
      <c r="L33" s="77">
        <f t="shared" si="3"/>
        <v>9148.5184484621241</v>
      </c>
      <c r="M33" s="191">
        <f t="shared" si="1"/>
        <v>13531.241500843162</v>
      </c>
      <c r="N33" s="78">
        <f t="shared" si="2"/>
        <v>2264.7305684117241</v>
      </c>
      <c r="O33" s="76">
        <f t="shared" si="4"/>
        <v>66949.303859761771</v>
      </c>
      <c r="P33" s="158">
        <v>2048</v>
      </c>
    </row>
    <row r="34" spans="1:16">
      <c r="A34" s="61">
        <v>26</v>
      </c>
      <c r="B34" s="113">
        <v>2049</v>
      </c>
      <c r="C34" s="75">
        <v>0.15535748575954572</v>
      </c>
      <c r="D34" s="121">
        <v>3574.28134545898</v>
      </c>
      <c r="E34" s="121">
        <v>486.30089727783201</v>
      </c>
      <c r="F34" s="121">
        <v>386.97647686576801</v>
      </c>
      <c r="G34" s="118">
        <f t="shared" si="0"/>
        <v>4447.5587196025799</v>
      </c>
      <c r="H34" s="124">
        <v>7164.1316751327504</v>
      </c>
      <c r="I34" s="125">
        <v>333.34245652008099</v>
      </c>
      <c r="J34" s="126">
        <v>381.10861252975502</v>
      </c>
      <c r="K34" s="127">
        <v>1993.7038732385599</v>
      </c>
      <c r="L34" s="77">
        <f t="shared" si="3"/>
        <v>9872.2866174211467</v>
      </c>
      <c r="M34" s="191">
        <f t="shared" si="1"/>
        <v>14319.845337023726</v>
      </c>
      <c r="N34" s="78">
        <f t="shared" si="2"/>
        <v>2224.6951680255606</v>
      </c>
      <c r="O34" s="76">
        <f t="shared" si="4"/>
        <v>69173.999027787329</v>
      </c>
      <c r="P34" s="158">
        <v>2049</v>
      </c>
    </row>
    <row r="35" spans="1:16">
      <c r="A35" s="61">
        <v>27</v>
      </c>
      <c r="B35" s="113">
        <v>2050</v>
      </c>
      <c r="C35" s="75">
        <v>0.14420671092516432</v>
      </c>
      <c r="D35" s="121">
        <v>3437.3127434692401</v>
      </c>
      <c r="E35" s="121">
        <v>529.00105383300797</v>
      </c>
      <c r="F35" s="121">
        <v>372.23316709661498</v>
      </c>
      <c r="G35" s="118">
        <f t="shared" si="0"/>
        <v>4338.5469643988627</v>
      </c>
      <c r="H35" s="124">
        <v>7904.5414093551599</v>
      </c>
      <c r="I35" s="125">
        <v>355.34056365203901</v>
      </c>
      <c r="J35" s="126">
        <v>400.79593014454798</v>
      </c>
      <c r="K35" s="127">
        <v>2279.54399922943</v>
      </c>
      <c r="L35" s="77">
        <f t="shared" si="3"/>
        <v>10940.221902381178</v>
      </c>
      <c r="M35" s="191">
        <f t="shared" si="1"/>
        <v>15278.768866780039</v>
      </c>
      <c r="N35" s="78">
        <f t="shared" si="2"/>
        <v>2203.3010052641498</v>
      </c>
      <c r="O35" s="76">
        <f t="shared" si="4"/>
        <v>71377.300033051477</v>
      </c>
      <c r="P35" s="158">
        <v>2050</v>
      </c>
    </row>
    <row r="36" spans="1:16">
      <c r="A36" s="61">
        <v>28</v>
      </c>
      <c r="B36" s="113">
        <v>2051</v>
      </c>
      <c r="C36" s="75">
        <v>0.13385628232964727</v>
      </c>
      <c r="D36" s="121">
        <v>3458.60216278076</v>
      </c>
      <c r="E36" s="121">
        <v>500.51790655517601</v>
      </c>
      <c r="F36" s="121">
        <v>373.386038988113</v>
      </c>
      <c r="G36" s="118">
        <f t="shared" si="0"/>
        <v>4332.5061083240489</v>
      </c>
      <c r="H36" s="124">
        <v>8062.9089181899999</v>
      </c>
      <c r="I36" s="125">
        <v>344.325089195251</v>
      </c>
      <c r="J36" s="126">
        <v>417.714503747344</v>
      </c>
      <c r="K36" s="127">
        <v>2378.1317109069801</v>
      </c>
      <c r="L36" s="77">
        <f t="shared" si="3"/>
        <v>11203.080222039574</v>
      </c>
      <c r="M36" s="191">
        <f t="shared" si="1"/>
        <v>15535.586330363623</v>
      </c>
      <c r="N36" s="78">
        <f t="shared" si="2"/>
        <v>2079.535829993762</v>
      </c>
      <c r="O36" s="76">
        <f t="shared" si="4"/>
        <v>73456.835863045242</v>
      </c>
      <c r="P36" s="158">
        <v>2051</v>
      </c>
    </row>
    <row r="37" spans="1:16">
      <c r="A37" s="61">
        <v>29</v>
      </c>
      <c r="B37" s="113">
        <v>2052</v>
      </c>
      <c r="C37" s="75">
        <v>0.12424875516655032</v>
      </c>
      <c r="D37" s="121">
        <v>3645.1378707275398</v>
      </c>
      <c r="E37" s="121">
        <v>580.25360308837901</v>
      </c>
      <c r="F37" s="121">
        <v>391.12346419334398</v>
      </c>
      <c r="G37" s="118">
        <f t="shared" si="0"/>
        <v>4616.5149380092635</v>
      </c>
      <c r="H37" s="124">
        <v>8387.7653062782301</v>
      </c>
      <c r="I37" s="125">
        <v>349.19731515884399</v>
      </c>
      <c r="J37" s="126">
        <v>445.72221907353401</v>
      </c>
      <c r="K37" s="127">
        <v>2542.2173406257598</v>
      </c>
      <c r="L37" s="77">
        <f t="shared" si="3"/>
        <v>11724.902181136367</v>
      </c>
      <c r="M37" s="191">
        <f t="shared" si="1"/>
        <v>16341.41711914563</v>
      </c>
      <c r="N37" s="78">
        <f t="shared" si="2"/>
        <v>2030.4007347111994</v>
      </c>
      <c r="O37" s="76">
        <f t="shared" si="4"/>
        <v>75487.236597756448</v>
      </c>
      <c r="P37" s="158">
        <v>2052</v>
      </c>
    </row>
    <row r="38" spans="1:16">
      <c r="A38" s="61">
        <v>30</v>
      </c>
      <c r="B38" s="113">
        <v>2053</v>
      </c>
      <c r="C38" s="75">
        <v>0.11533080772719265</v>
      </c>
      <c r="D38" s="121">
        <v>3836.1608326415999</v>
      </c>
      <c r="E38" s="121">
        <v>648.82689794921896</v>
      </c>
      <c r="F38" s="121">
        <v>409.15187053299002</v>
      </c>
      <c r="G38" s="119">
        <f t="shared" si="0"/>
        <v>4894.1396011238085</v>
      </c>
      <c r="H38" s="124">
        <v>9080.2467633285505</v>
      </c>
      <c r="I38" s="125">
        <v>353.927910022736</v>
      </c>
      <c r="J38" s="126">
        <v>501.92431075036501</v>
      </c>
      <c r="K38" s="127">
        <v>2876.56974024391</v>
      </c>
      <c r="L38" s="77">
        <f t="shared" si="3"/>
        <v>12812.66872434556</v>
      </c>
      <c r="M38" s="191">
        <f t="shared" si="1"/>
        <v>17706.80832546937</v>
      </c>
      <c r="N38" s="78">
        <f t="shared" si="2"/>
        <v>2042.140506446962</v>
      </c>
      <c r="O38" s="76">
        <f t="shared" si="4"/>
        <v>77529.377104203406</v>
      </c>
      <c r="P38" s="158">
        <v>2053</v>
      </c>
    </row>
    <row r="39" spans="1:16">
      <c r="A39" s="61">
        <v>31</v>
      </c>
      <c r="B39" s="114">
        <v>2054</v>
      </c>
      <c r="C39" s="75">
        <v>0.10705294546554593</v>
      </c>
      <c r="D39" s="122">
        <v>3808.7302148437502</v>
      </c>
      <c r="E39" s="121">
        <v>687.14258618164104</v>
      </c>
      <c r="F39" s="122">
        <v>408.83307957077</v>
      </c>
      <c r="G39" s="118">
        <f t="shared" si="0"/>
        <v>4904.7058805961606</v>
      </c>
      <c r="H39" s="124">
        <v>9385.0040338554409</v>
      </c>
      <c r="I39" s="125">
        <v>362.829817993164</v>
      </c>
      <c r="J39" s="126">
        <v>532.44807791066205</v>
      </c>
      <c r="K39" s="127">
        <v>3064.72161736107</v>
      </c>
      <c r="L39" s="77">
        <f t="shared" si="3"/>
        <v>13345.003547120337</v>
      </c>
      <c r="M39" s="191">
        <f t="shared" si="1"/>
        <v>18249.709427716498</v>
      </c>
      <c r="N39" s="78">
        <f t="shared" si="2"/>
        <v>1953.6851481273936</v>
      </c>
      <c r="O39" s="76">
        <f t="shared" si="4"/>
        <v>79483.062252330797</v>
      </c>
      <c r="P39" s="158">
        <v>2054</v>
      </c>
    </row>
    <row r="40" spans="1:16">
      <c r="A40" s="61">
        <v>32</v>
      </c>
      <c r="B40" s="113">
        <v>2055</v>
      </c>
      <c r="C40" s="75">
        <v>9.9369226303849423E-2</v>
      </c>
      <c r="D40" s="121">
        <v>3670.8371870117198</v>
      </c>
      <c r="E40" s="121">
        <v>690.46506628418001</v>
      </c>
      <c r="F40" s="121">
        <v>392.35038484191898</v>
      </c>
      <c r="G40" s="118">
        <f t="shared" si="0"/>
        <v>4753.6526381378189</v>
      </c>
      <c r="H40" s="124">
        <v>9496.9042682685795</v>
      </c>
      <c r="I40" s="125">
        <v>378.75977358245802</v>
      </c>
      <c r="J40" s="126">
        <v>554.24949354386297</v>
      </c>
      <c r="K40" s="127">
        <v>3168.6304031643899</v>
      </c>
      <c r="L40" s="77">
        <f t="shared" si="3"/>
        <v>13598.543938559291</v>
      </c>
      <c r="M40" s="191">
        <f t="shared" si="1"/>
        <v>18352.196576697112</v>
      </c>
      <c r="N40" s="78">
        <f t="shared" si="2"/>
        <v>1823.643574802546</v>
      </c>
      <c r="O40" s="76">
        <f t="shared" si="4"/>
        <v>81306.705827133337</v>
      </c>
      <c r="P40" s="158">
        <v>2055</v>
      </c>
    </row>
    <row r="41" spans="1:16">
      <c r="A41" s="61">
        <v>33</v>
      </c>
      <c r="B41" s="113">
        <v>2056</v>
      </c>
      <c r="C41" s="75">
        <v>9.2237005654399115E-2</v>
      </c>
      <c r="D41" s="121">
        <v>4084.5822924804702</v>
      </c>
      <c r="E41" s="121">
        <v>777.42318133544904</v>
      </c>
      <c r="F41" s="121">
        <v>431.43063912582397</v>
      </c>
      <c r="G41" s="118">
        <f t="shared" si="0"/>
        <v>5293.4361129417439</v>
      </c>
      <c r="H41" s="124">
        <v>10077.411185833</v>
      </c>
      <c r="I41" s="125">
        <v>376.893073654175</v>
      </c>
      <c r="J41" s="126">
        <v>603.04645590198004</v>
      </c>
      <c r="K41" s="127">
        <v>3485.3857514152501</v>
      </c>
      <c r="L41" s="77">
        <f t="shared" si="3"/>
        <v>14542.736466804405</v>
      </c>
      <c r="M41" s="191">
        <f t="shared" si="1"/>
        <v>19836.172579746148</v>
      </c>
      <c r="N41" s="78">
        <f t="shared" si="2"/>
        <v>1829.6291623996822</v>
      </c>
      <c r="O41" s="76">
        <f t="shared" si="4"/>
        <v>83136.334989533018</v>
      </c>
      <c r="P41" s="158">
        <v>2056</v>
      </c>
    </row>
    <row r="42" spans="1:16">
      <c r="A42" s="61">
        <v>34</v>
      </c>
      <c r="B42" s="113">
        <v>2057</v>
      </c>
      <c r="C42" s="75">
        <v>8.5616699742383714E-2</v>
      </c>
      <c r="D42" s="121">
        <v>3947.6818017578098</v>
      </c>
      <c r="E42" s="121">
        <v>815.15351928710902</v>
      </c>
      <c r="F42" s="121">
        <v>414.64962958145099</v>
      </c>
      <c r="G42" s="118">
        <f t="shared" si="0"/>
        <v>5177.4849506263699</v>
      </c>
      <c r="H42" s="124">
        <v>10286.118769729601</v>
      </c>
      <c r="I42" s="125">
        <v>358.81805320739699</v>
      </c>
      <c r="J42" s="126">
        <v>634.95316657221304</v>
      </c>
      <c r="K42" s="127">
        <v>3657.57261391068</v>
      </c>
      <c r="L42" s="77">
        <f t="shared" si="3"/>
        <v>14937.462603419892</v>
      </c>
      <c r="M42" s="191">
        <f t="shared" si="1"/>
        <v>20114.947554046263</v>
      </c>
      <c r="N42" s="78">
        <f t="shared" si="2"/>
        <v>1722.1754250685747</v>
      </c>
      <c r="O42" s="76">
        <f t="shared" si="4"/>
        <v>84858.510414601595</v>
      </c>
      <c r="P42" s="158">
        <v>2057</v>
      </c>
    </row>
    <row r="43" spans="1:16">
      <c r="A43" s="61">
        <v>35</v>
      </c>
      <c r="B43" s="113">
        <v>2058</v>
      </c>
      <c r="C43" s="75">
        <v>7.9471565916210796E-2</v>
      </c>
      <c r="D43" s="121">
        <v>4001.03425561523</v>
      </c>
      <c r="E43" s="121">
        <v>871.69256829834001</v>
      </c>
      <c r="F43" s="121">
        <v>417.21815098762499</v>
      </c>
      <c r="G43" s="118">
        <f t="shared" si="0"/>
        <v>5289.9449749011947</v>
      </c>
      <c r="H43" s="124">
        <v>10373.4658237801</v>
      </c>
      <c r="I43" s="125">
        <v>364.08225741958603</v>
      </c>
      <c r="J43" s="126">
        <v>655.42392049682098</v>
      </c>
      <c r="K43" s="127">
        <v>3777.7642052659999</v>
      </c>
      <c r="L43" s="77">
        <f t="shared" si="3"/>
        <v>15170.736206962507</v>
      </c>
      <c r="M43" s="191">
        <f t="shared" si="1"/>
        <v>20460.6811818637</v>
      </c>
      <c r="N43" s="78">
        <f t="shared" si="2"/>
        <v>1626.0423732350548</v>
      </c>
      <c r="O43" s="76">
        <f t="shared" si="4"/>
        <v>86484.552787836656</v>
      </c>
      <c r="P43" s="158">
        <v>2058</v>
      </c>
    </row>
    <row r="44" spans="1:16">
      <c r="A44" s="61">
        <v>36</v>
      </c>
      <c r="B44" s="113">
        <v>2059</v>
      </c>
      <c r="C44" s="75">
        <v>7.3767498726046987E-2</v>
      </c>
      <c r="D44" s="121">
        <v>4027.19047192383</v>
      </c>
      <c r="E44" s="121">
        <v>934.79876263427695</v>
      </c>
      <c r="F44" s="121">
        <v>418.60751874756801</v>
      </c>
      <c r="G44" s="118">
        <f t="shared" si="0"/>
        <v>5380.5967533056746</v>
      </c>
      <c r="H44" s="124">
        <v>10538.9077573662</v>
      </c>
      <c r="I44" s="125">
        <v>374.60571669769303</v>
      </c>
      <c r="J44" s="126">
        <v>685.56226717042898</v>
      </c>
      <c r="K44" s="127">
        <v>3939.4009268055001</v>
      </c>
      <c r="L44" s="77">
        <f t="shared" si="3"/>
        <v>15538.476668039822</v>
      </c>
      <c r="M44" s="191">
        <f t="shared" si="1"/>
        <v>20919.073421345496</v>
      </c>
      <c r="N44" s="78">
        <f t="shared" si="2"/>
        <v>1543.1477219591873</v>
      </c>
      <c r="O44" s="76">
        <f t="shared" si="4"/>
        <v>88027.700509795846</v>
      </c>
      <c r="P44" s="158">
        <v>2059</v>
      </c>
    </row>
    <row r="45" spans="1:16">
      <c r="A45" s="61">
        <v>37</v>
      </c>
      <c r="B45" s="113">
        <v>2060</v>
      </c>
      <c r="C45" s="75">
        <v>6.8472840638809471E-2</v>
      </c>
      <c r="D45" s="121">
        <v>4043.1222589111298</v>
      </c>
      <c r="E45" s="121">
        <v>971.95081665039095</v>
      </c>
      <c r="F45" s="121">
        <v>421.06376467299498</v>
      </c>
      <c r="G45" s="118">
        <f t="shared" si="0"/>
        <v>5436.1368402345151</v>
      </c>
      <c r="H45" s="124">
        <v>10657.6567685013</v>
      </c>
      <c r="I45" s="125">
        <v>385.18463532257101</v>
      </c>
      <c r="J45" s="126">
        <v>715.21454988288895</v>
      </c>
      <c r="K45" s="127">
        <v>4082.7030521564502</v>
      </c>
      <c r="L45" s="77">
        <f t="shared" si="3"/>
        <v>15840.759005863209</v>
      </c>
      <c r="M45" s="191">
        <f t="shared" si="1"/>
        <v>21276.895846097723</v>
      </c>
      <c r="N45" s="78">
        <f t="shared" si="2"/>
        <v>1456.8894985583966</v>
      </c>
      <c r="O45" s="76">
        <f t="shared" si="4"/>
        <v>89484.590008354236</v>
      </c>
      <c r="P45" s="158">
        <v>2060</v>
      </c>
    </row>
    <row r="46" spans="1:16">
      <c r="A46" s="61">
        <v>38</v>
      </c>
      <c r="B46" s="113">
        <v>2061</v>
      </c>
      <c r="C46" s="75">
        <v>6.3558206339078396E-2</v>
      </c>
      <c r="D46" s="121">
        <v>4011.0433945312502</v>
      </c>
      <c r="E46" s="121">
        <v>1004.93561560059</v>
      </c>
      <c r="F46" s="121">
        <v>413.06845080566399</v>
      </c>
      <c r="G46" s="118">
        <f t="shared" si="0"/>
        <v>5429.0474609375042</v>
      </c>
      <c r="H46" s="124">
        <v>10771.9481800423</v>
      </c>
      <c r="I46" s="125">
        <v>391.269552429199</v>
      </c>
      <c r="J46" s="126">
        <v>737.03714451479902</v>
      </c>
      <c r="K46" s="127">
        <v>4225.1471401958497</v>
      </c>
      <c r="L46" s="77">
        <f t="shared" si="3"/>
        <v>16125.402017182148</v>
      </c>
      <c r="M46" s="191">
        <f t="shared" si="1"/>
        <v>21554.449478119652</v>
      </c>
      <c r="N46" s="78">
        <f t="shared" si="2"/>
        <v>1369.9621474555695</v>
      </c>
      <c r="O46" s="76">
        <f t="shared" si="4"/>
        <v>90854.552155809812</v>
      </c>
      <c r="P46" s="158">
        <v>2061</v>
      </c>
    </row>
    <row r="47" spans="1:16">
      <c r="A47" s="61">
        <v>39</v>
      </c>
      <c r="B47" s="113">
        <v>2062</v>
      </c>
      <c r="C47" s="75">
        <v>5.8996319640801487E-2</v>
      </c>
      <c r="D47" s="121">
        <v>3761.9413632812498</v>
      </c>
      <c r="E47" s="121">
        <v>1073.30255432129</v>
      </c>
      <c r="F47" s="121">
        <v>383.37669653320302</v>
      </c>
      <c r="G47" s="118">
        <f t="shared" si="0"/>
        <v>5218.6206141357434</v>
      </c>
      <c r="H47" s="124">
        <v>10943.7069309046</v>
      </c>
      <c r="I47" s="125">
        <v>369.17103807735401</v>
      </c>
      <c r="J47" s="126">
        <v>767.28398075008704</v>
      </c>
      <c r="K47" s="127">
        <v>4399.0593567005199</v>
      </c>
      <c r="L47" s="77">
        <f t="shared" si="3"/>
        <v>16479.221306432562</v>
      </c>
      <c r="M47" s="191">
        <f t="shared" si="1"/>
        <v>21697.841920568306</v>
      </c>
      <c r="N47" s="78">
        <f t="shared" si="2"/>
        <v>1280.0928174614298</v>
      </c>
      <c r="O47" s="76">
        <f t="shared" si="4"/>
        <v>92134.644973271235</v>
      </c>
      <c r="P47" s="158">
        <v>2062</v>
      </c>
    </row>
    <row r="48" spans="1:16">
      <c r="A48" s="61">
        <v>40</v>
      </c>
      <c r="B48" s="113">
        <v>2063</v>
      </c>
      <c r="C48" s="75">
        <v>5.4761862104651837E-2</v>
      </c>
      <c r="D48" s="121">
        <v>3967.33905859375</v>
      </c>
      <c r="E48" s="121">
        <v>1095.42427368164</v>
      </c>
      <c r="F48" s="121">
        <v>399.94631677246099</v>
      </c>
      <c r="G48" s="118">
        <f t="shared" si="0"/>
        <v>5462.7096490478507</v>
      </c>
      <c r="H48" s="124">
        <v>11365.980147514299</v>
      </c>
      <c r="I48" s="125">
        <v>376.40920589828499</v>
      </c>
      <c r="J48" s="126">
        <v>825.57738023665502</v>
      </c>
      <c r="K48" s="127">
        <v>4716.4893897628799</v>
      </c>
      <c r="L48" s="77">
        <f t="shared" si="3"/>
        <v>17284.456123412117</v>
      </c>
      <c r="M48" s="191">
        <f t="shared" si="1"/>
        <v>22747.165772459968</v>
      </c>
      <c r="N48" s="78">
        <f t="shared" si="2"/>
        <v>1245.677155303109</v>
      </c>
      <c r="O48" s="76">
        <f t="shared" si="4"/>
        <v>93380.322128574349</v>
      </c>
      <c r="P48" s="158">
        <v>2063</v>
      </c>
    </row>
    <row r="49" spans="1:16">
      <c r="A49" s="61">
        <v>41</v>
      </c>
      <c r="B49" s="113">
        <v>2064</v>
      </c>
      <c r="C49" s="75">
        <v>5.0831332520866419E-2</v>
      </c>
      <c r="D49" s="121">
        <v>3958.7884414062501</v>
      </c>
      <c r="E49" s="121">
        <v>1265.91409594727</v>
      </c>
      <c r="F49" s="121">
        <v>394.92826171874998</v>
      </c>
      <c r="G49" s="118">
        <f t="shared" si="0"/>
        <v>5619.6307990722698</v>
      </c>
      <c r="H49" s="124">
        <v>11580.9285358696</v>
      </c>
      <c r="I49" s="125">
        <v>392.287235549927</v>
      </c>
      <c r="J49" s="126">
        <v>867.05790400588501</v>
      </c>
      <c r="K49" s="127">
        <v>4951.4260425805996</v>
      </c>
      <c r="L49" s="77">
        <f t="shared" si="3"/>
        <v>17791.699718006013</v>
      </c>
      <c r="M49" s="191">
        <f t="shared" si="1"/>
        <v>23411.330517078284</v>
      </c>
      <c r="N49" s="78">
        <f t="shared" si="2"/>
        <v>1190.0291262695139</v>
      </c>
      <c r="O49" s="76">
        <f t="shared" si="4"/>
        <v>94570.351254843859</v>
      </c>
      <c r="P49" s="158">
        <v>2064</v>
      </c>
    </row>
    <row r="50" spans="1:16">
      <c r="A50" s="61">
        <v>42</v>
      </c>
      <c r="B50" s="113">
        <v>2065</v>
      </c>
      <c r="C50" s="75">
        <v>4.7182916477695978E-2</v>
      </c>
      <c r="D50" s="121">
        <v>3958.5548554687498</v>
      </c>
      <c r="E50" s="121">
        <v>1228.84224853516</v>
      </c>
      <c r="F50" s="121">
        <v>390.88804248046898</v>
      </c>
      <c r="G50" s="118">
        <f t="shared" si="0"/>
        <v>5578.2851464843789</v>
      </c>
      <c r="H50" s="124">
        <v>11716.5815316278</v>
      </c>
      <c r="I50" s="125">
        <v>391.98240116119399</v>
      </c>
      <c r="J50" s="126">
        <v>902.80348863470601</v>
      </c>
      <c r="K50" s="127">
        <v>5136.5412774353399</v>
      </c>
      <c r="L50" s="77">
        <f t="shared" si="3"/>
        <v>18147.908698859042</v>
      </c>
      <c r="M50" s="191">
        <f t="shared" si="1"/>
        <v>23726.19384534342</v>
      </c>
      <c r="N50" s="78">
        <f t="shared" si="2"/>
        <v>1119.4710225384629</v>
      </c>
      <c r="O50" s="76">
        <f t="shared" si="4"/>
        <v>95689.822277382322</v>
      </c>
      <c r="P50" s="158">
        <v>2065</v>
      </c>
    </row>
    <row r="51" spans="1:16">
      <c r="A51" s="61">
        <v>43</v>
      </c>
      <c r="B51" s="113">
        <v>2066</v>
      </c>
      <c r="C51" s="75">
        <v>4.3796365291572104E-2</v>
      </c>
      <c r="D51" s="121">
        <v>3969.0835000000002</v>
      </c>
      <c r="E51" s="121">
        <v>1302.11000036621</v>
      </c>
      <c r="F51" s="121">
        <v>388.060228149414</v>
      </c>
      <c r="G51" s="118">
        <f t="shared" si="0"/>
        <v>5659.2537285156241</v>
      </c>
      <c r="H51" s="124">
        <v>11853.4563283157</v>
      </c>
      <c r="I51" s="125">
        <v>409.52157147598302</v>
      </c>
      <c r="J51" s="126">
        <v>938.23562041378</v>
      </c>
      <c r="K51" s="127">
        <v>5327.2280644512202</v>
      </c>
      <c r="L51" s="77">
        <f t="shared" si="3"/>
        <v>18528.441584656684</v>
      </c>
      <c r="M51" s="191">
        <f t="shared" si="1"/>
        <v>24187.695313172309</v>
      </c>
      <c r="N51" s="78">
        <f t="shared" si="2"/>
        <v>1059.3331394969409</v>
      </c>
      <c r="O51" s="76">
        <f t="shared" si="4"/>
        <v>96749.155416879265</v>
      </c>
      <c r="P51" s="158">
        <v>2066</v>
      </c>
    </row>
    <row r="52" spans="1:16">
      <c r="A52" s="61">
        <v>44</v>
      </c>
      <c r="B52" s="113">
        <v>2067</v>
      </c>
      <c r="C52" s="75">
        <v>4.0652883627054819E-2</v>
      </c>
      <c r="D52" s="121">
        <v>3990.1073398437502</v>
      </c>
      <c r="E52" s="121">
        <v>1375.40666027832</v>
      </c>
      <c r="F52" s="121">
        <v>386.534763305664</v>
      </c>
      <c r="G52" s="118">
        <f t="shared" si="0"/>
        <v>5752.0487634277342</v>
      </c>
      <c r="H52" s="124">
        <v>11977.9033931541</v>
      </c>
      <c r="I52" s="125">
        <v>406.836707103729</v>
      </c>
      <c r="J52" s="126">
        <v>975.92655099838998</v>
      </c>
      <c r="K52" s="127">
        <v>5519.6400777416202</v>
      </c>
      <c r="L52" s="77">
        <f t="shared" si="3"/>
        <v>18880.306728997839</v>
      </c>
      <c r="M52" s="191">
        <f t="shared" si="1"/>
        <v>24632.355492425573</v>
      </c>
      <c r="N52" s="78">
        <f t="shared" si="2"/>
        <v>1001.3762812938214</v>
      </c>
      <c r="O52" s="76">
        <f t="shared" si="4"/>
        <v>97750.531698173087</v>
      </c>
      <c r="P52" s="158">
        <v>2067</v>
      </c>
    </row>
    <row r="53" spans="1:16">
      <c r="A53" s="61">
        <v>45</v>
      </c>
      <c r="B53" s="113">
        <v>2068</v>
      </c>
      <c r="C53" s="75">
        <v>3.7735025182852072E-2</v>
      </c>
      <c r="D53" s="121">
        <v>4021.9148437499998</v>
      </c>
      <c r="E53" s="121">
        <v>1524.34576721191</v>
      </c>
      <c r="F53" s="121">
        <v>386.45386499023402</v>
      </c>
      <c r="G53" s="118">
        <f t="shared" si="0"/>
        <v>5932.7144759521443</v>
      </c>
      <c r="H53" s="124">
        <v>12084.072089876199</v>
      </c>
      <c r="I53" s="125">
        <v>386.11849058532698</v>
      </c>
      <c r="J53" s="126">
        <v>1008.17131330353</v>
      </c>
      <c r="K53" s="127">
        <v>5709.6415001406704</v>
      </c>
      <c r="L53" s="77">
        <f t="shared" si="3"/>
        <v>19188.003393905728</v>
      </c>
      <c r="M53" s="191">
        <f t="shared" si="1"/>
        <v>25120.717869857872</v>
      </c>
      <c r="N53" s="78">
        <f t="shared" si="2"/>
        <v>947.93092143040883</v>
      </c>
      <c r="O53" s="76">
        <f t="shared" si="4"/>
        <v>98698.462619603495</v>
      </c>
      <c r="P53" s="158">
        <v>2068</v>
      </c>
    </row>
    <row r="54" spans="1:16">
      <c r="A54" s="61">
        <v>46</v>
      </c>
      <c r="B54" s="113">
        <v>2069</v>
      </c>
      <c r="C54" s="75">
        <v>3.5026595864969388E-2</v>
      </c>
      <c r="D54" s="121">
        <v>3877.3208554687499</v>
      </c>
      <c r="E54" s="121">
        <v>1509.5000322265601</v>
      </c>
      <c r="F54" s="121">
        <v>372.46499511718798</v>
      </c>
      <c r="G54" s="118">
        <f t="shared" si="0"/>
        <v>5759.2858828124981</v>
      </c>
      <c r="H54" s="124">
        <v>12220.244758872999</v>
      </c>
      <c r="I54" s="125">
        <v>389.39154171943699</v>
      </c>
      <c r="J54" s="126">
        <v>1049.7878204086401</v>
      </c>
      <c r="K54" s="127">
        <v>5920.6347030534698</v>
      </c>
      <c r="L54" s="77">
        <f t="shared" si="3"/>
        <v>19580.058824054548</v>
      </c>
      <c r="M54" s="191">
        <f t="shared" si="1"/>
        <v>25339.344706867047</v>
      </c>
      <c r="N54" s="78">
        <f t="shared" si="2"/>
        <v>887.55098653058326</v>
      </c>
      <c r="O54" s="76">
        <f t="shared" si="4"/>
        <v>99586.013606134075</v>
      </c>
      <c r="P54" s="158">
        <v>2069</v>
      </c>
    </row>
    <row r="55" spans="1:16" ht="13.5" thickBot="1">
      <c r="A55" s="61">
        <v>47</v>
      </c>
      <c r="B55" s="115">
        <v>2070</v>
      </c>
      <c r="C55" s="159">
        <v>3.251256390960125E-2</v>
      </c>
      <c r="D55" s="123">
        <v>4036.4251367187499</v>
      </c>
      <c r="E55" s="123">
        <v>1643.5524674072301</v>
      </c>
      <c r="F55" s="123">
        <v>387.81016088867199</v>
      </c>
      <c r="G55" s="120">
        <f t="shared" si="0"/>
        <v>6067.787765014652</v>
      </c>
      <c r="H55" s="128">
        <v>12370.368442987399</v>
      </c>
      <c r="I55" s="129">
        <v>401.319466459274</v>
      </c>
      <c r="J55" s="129">
        <v>1084.4357989755299</v>
      </c>
      <c r="K55" s="130">
        <v>6142.3528706350298</v>
      </c>
      <c r="L55" s="160">
        <f t="shared" si="3"/>
        <v>19998.476579057235</v>
      </c>
      <c r="M55" s="192">
        <f t="shared" si="1"/>
        <v>26066.264344071886</v>
      </c>
      <c r="N55" s="161">
        <f t="shared" si="2"/>
        <v>847.48108537119754</v>
      </c>
      <c r="O55" s="162">
        <f t="shared" si="4"/>
        <v>100433.49469150527</v>
      </c>
      <c r="P55" s="163">
        <v>2070</v>
      </c>
    </row>
  </sheetData>
  <mergeCells count="2">
    <mergeCell ref="D4:F4"/>
    <mergeCell ref="H4:K4"/>
  </mergeCells>
  <phoneticPr fontId="4" type="noConversion"/>
  <pageMargins left="0.38" right="0.18" top="1" bottom="1" header="0.5" footer="0.5"/>
  <pageSetup scale="38" orientation="landscape" r:id="rId1"/>
  <headerFooter alignWithMargins="0"/>
  <ignoredErrors>
    <ignoredError sqref="G9:G5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1"/>
  <sheetViews>
    <sheetView workbookViewId="0">
      <selection activeCell="A2" sqref="A2"/>
    </sheetView>
  </sheetViews>
  <sheetFormatPr defaultRowHeight="12.75"/>
  <cols>
    <col min="1" max="1" width="9.140625" style="2"/>
    <col min="2" max="2" width="13.7109375" style="2" customWidth="1"/>
    <col min="3" max="16384" width="9.140625" style="2"/>
  </cols>
  <sheetData>
    <row r="1" spans="1:2">
      <c r="A1" s="195" t="s">
        <v>84</v>
      </c>
    </row>
    <row r="2" spans="1:2">
      <c r="A2" s="195" t="s">
        <v>81</v>
      </c>
    </row>
    <row r="3" spans="1:2">
      <c r="B3" s="84" t="s">
        <v>54</v>
      </c>
    </row>
    <row r="4" spans="1:2">
      <c r="A4" s="84" t="s">
        <v>13</v>
      </c>
      <c r="B4" s="141" t="s">
        <v>55</v>
      </c>
    </row>
    <row r="5" spans="1:2">
      <c r="A5" s="84">
        <v>2024</v>
      </c>
      <c r="B5" s="95">
        <v>140469039.77881324</v>
      </c>
    </row>
    <row r="6" spans="1:2">
      <c r="A6" s="84">
        <f>A5+1</f>
        <v>2025</v>
      </c>
      <c r="B6" s="95">
        <v>141760595.45007616</v>
      </c>
    </row>
    <row r="7" spans="1:2">
      <c r="A7" s="84">
        <f t="shared" ref="A7:A51" si="0">A6+1</f>
        <v>2026</v>
      </c>
      <c r="B7" s="95">
        <v>142991001.88578919</v>
      </c>
    </row>
    <row r="8" spans="1:2">
      <c r="A8" s="84">
        <f t="shared" si="0"/>
        <v>2027</v>
      </c>
      <c r="B8" s="95">
        <v>144052949.12134701</v>
      </c>
    </row>
    <row r="9" spans="1:2">
      <c r="A9" s="84">
        <f t="shared" si="0"/>
        <v>2028</v>
      </c>
      <c r="B9" s="95">
        <v>145101074.94866121</v>
      </c>
    </row>
    <row r="10" spans="1:2">
      <c r="A10" s="84">
        <f t="shared" si="0"/>
        <v>2029</v>
      </c>
      <c r="B10" s="95">
        <v>146550779.6674794</v>
      </c>
    </row>
    <row r="11" spans="1:2">
      <c r="A11" s="84">
        <f t="shared" si="0"/>
        <v>2030</v>
      </c>
      <c r="B11" s="95">
        <v>148289967.0067271</v>
      </c>
    </row>
    <row r="12" spans="1:2">
      <c r="A12" s="84">
        <f t="shared" si="0"/>
        <v>2031</v>
      </c>
      <c r="B12" s="95">
        <v>149577661.03711218</v>
      </c>
    </row>
    <row r="13" spans="1:2">
      <c r="A13" s="84">
        <f t="shared" si="0"/>
        <v>2032</v>
      </c>
      <c r="B13" s="95">
        <v>151677427.00159541</v>
      </c>
    </row>
    <row r="14" spans="1:2">
      <c r="A14" s="84">
        <f t="shared" si="0"/>
        <v>2033</v>
      </c>
      <c r="B14" s="95">
        <v>153686054.84132862</v>
      </c>
    </row>
    <row r="15" spans="1:2">
      <c r="A15" s="84">
        <f t="shared" si="0"/>
        <v>2034</v>
      </c>
      <c r="B15" s="95">
        <v>155677526.0633994</v>
      </c>
    </row>
    <row r="16" spans="1:2">
      <c r="A16" s="84">
        <f t="shared" si="0"/>
        <v>2035</v>
      </c>
      <c r="B16" s="95">
        <v>157715250.18778408</v>
      </c>
    </row>
    <row r="17" spans="1:2">
      <c r="A17" s="84">
        <f t="shared" si="0"/>
        <v>2036</v>
      </c>
      <c r="B17" s="95">
        <v>159678552.76802424</v>
      </c>
    </row>
    <row r="18" spans="1:2">
      <c r="A18" s="84">
        <f t="shared" si="0"/>
        <v>2037</v>
      </c>
      <c r="B18" s="95">
        <v>161501513.23125178</v>
      </c>
    </row>
    <row r="19" spans="1:2">
      <c r="A19" s="84">
        <f t="shared" si="0"/>
        <v>2038</v>
      </c>
      <c r="B19" s="95">
        <v>163154117.48815659</v>
      </c>
    </row>
    <row r="20" spans="1:2">
      <c r="A20" s="84">
        <f t="shared" si="0"/>
        <v>2039</v>
      </c>
      <c r="B20" s="95">
        <v>164626973.09057534</v>
      </c>
    </row>
    <row r="21" spans="1:2">
      <c r="A21" s="84">
        <f t="shared" si="0"/>
        <v>2040</v>
      </c>
      <c r="B21" s="95">
        <v>165934759.0103645</v>
      </c>
    </row>
    <row r="22" spans="1:2">
      <c r="A22" s="84">
        <f t="shared" si="0"/>
        <v>2041</v>
      </c>
      <c r="B22" s="95">
        <v>164918528.22270811</v>
      </c>
    </row>
    <row r="23" spans="1:2">
      <c r="A23" s="84">
        <f t="shared" si="0"/>
        <v>2042</v>
      </c>
      <c r="B23" s="95">
        <v>166510767.19574466</v>
      </c>
    </row>
    <row r="24" spans="1:2">
      <c r="A24" s="84">
        <f t="shared" si="0"/>
        <v>2043</v>
      </c>
      <c r="B24" s="95">
        <v>168119102.7607415</v>
      </c>
    </row>
    <row r="25" spans="1:2">
      <c r="A25" s="84">
        <f t="shared" si="0"/>
        <v>2044</v>
      </c>
      <c r="B25" s="95">
        <v>169743699.38976341</v>
      </c>
    </row>
    <row r="26" spans="1:2">
      <c r="A26" s="84">
        <f t="shared" si="0"/>
        <v>2045</v>
      </c>
      <c r="B26" s="95">
        <v>171384723.23944247</v>
      </c>
    </row>
    <row r="27" spans="1:2">
      <c r="A27" s="84">
        <f t="shared" si="0"/>
        <v>2046</v>
      </c>
      <c r="B27" s="95">
        <v>173042342.16823125</v>
      </c>
    </row>
    <row r="28" spans="1:2">
      <c r="A28" s="84">
        <f t="shared" si="0"/>
        <v>2047</v>
      </c>
      <c r="B28" s="95">
        <v>174716725.75385049</v>
      </c>
    </row>
    <row r="29" spans="1:2">
      <c r="A29" s="84">
        <f t="shared" si="0"/>
        <v>2048</v>
      </c>
      <c r="B29" s="95">
        <v>176408045.31090355</v>
      </c>
    </row>
    <row r="30" spans="1:2">
      <c r="A30" s="84">
        <f t="shared" si="0"/>
        <v>2049</v>
      </c>
      <c r="B30" s="95">
        <v>178116473.90867817</v>
      </c>
    </row>
    <row r="31" spans="1:2">
      <c r="A31" s="84">
        <f t="shared" si="0"/>
        <v>2050</v>
      </c>
      <c r="B31" s="95">
        <v>179842186.38912725</v>
      </c>
    </row>
    <row r="32" spans="1:2">
      <c r="A32" s="84">
        <f t="shared" si="0"/>
        <v>2051</v>
      </c>
      <c r="B32" s="95">
        <v>181585359.38502946</v>
      </c>
    </row>
    <row r="33" spans="1:2">
      <c r="A33" s="84">
        <f t="shared" si="0"/>
        <v>2052</v>
      </c>
      <c r="B33" s="95">
        <v>183346171.33835286</v>
      </c>
    </row>
    <row r="34" spans="1:2">
      <c r="A34" s="84">
        <f t="shared" si="0"/>
        <v>2053</v>
      </c>
      <c r="B34" s="95">
        <v>185124802.51877928</v>
      </c>
    </row>
    <row r="35" spans="1:2">
      <c r="A35" s="84">
        <f t="shared" si="0"/>
        <v>2054</v>
      </c>
      <c r="B35" s="95">
        <v>186921435.04245102</v>
      </c>
    </row>
    <row r="36" spans="1:2">
      <c r="A36" s="84">
        <f t="shared" si="0"/>
        <v>2055</v>
      </c>
      <c r="B36" s="95">
        <v>188736252.89088118</v>
      </c>
    </row>
    <row r="37" spans="1:2">
      <c r="A37" s="84">
        <f t="shared" si="0"/>
        <v>2056</v>
      </c>
      <c r="B37" s="95">
        <v>190569441.93007272</v>
      </c>
    </row>
    <row r="38" spans="1:2">
      <c r="A38" s="84">
        <f t="shared" si="0"/>
        <v>2057</v>
      </c>
      <c r="B38" s="95">
        <v>192421189.92983162</v>
      </c>
    </row>
    <row r="39" spans="1:2">
      <c r="A39" s="84">
        <f t="shared" si="0"/>
        <v>2058</v>
      </c>
      <c r="B39" s="95">
        <v>194291686.58327684</v>
      </c>
    </row>
    <row r="40" spans="1:2">
      <c r="A40" s="84">
        <f t="shared" si="0"/>
        <v>2059</v>
      </c>
      <c r="B40" s="95">
        <v>196181123.5265471</v>
      </c>
    </row>
    <row r="41" spans="1:2">
      <c r="A41" s="84">
        <f t="shared" si="0"/>
        <v>2060</v>
      </c>
      <c r="B41" s="95">
        <v>198089694.35871768</v>
      </c>
    </row>
    <row r="42" spans="1:2">
      <c r="A42" s="84">
        <f t="shared" si="0"/>
        <v>2061</v>
      </c>
      <c r="B42" s="95">
        <v>200017594.6619105</v>
      </c>
    </row>
    <row r="43" spans="1:2">
      <c r="A43" s="84">
        <f t="shared" si="0"/>
        <v>2062</v>
      </c>
      <c r="B43" s="95">
        <v>201965022.02162123</v>
      </c>
    </row>
    <row r="44" spans="1:2">
      <c r="A44" s="84">
        <f t="shared" si="0"/>
        <v>2063</v>
      </c>
      <c r="B44" s="95">
        <v>203932176.04724571</v>
      </c>
    </row>
    <row r="45" spans="1:2">
      <c r="A45" s="84">
        <f t="shared" si="0"/>
        <v>2064</v>
      </c>
      <c r="B45" s="95">
        <v>205919258.39282292</v>
      </c>
    </row>
    <row r="46" spans="1:2">
      <c r="A46" s="84">
        <f t="shared" si="0"/>
        <v>2065</v>
      </c>
      <c r="B46" s="95">
        <v>207926472.77798826</v>
      </c>
    </row>
    <row r="47" spans="1:2">
      <c r="A47" s="84">
        <f t="shared" si="0"/>
        <v>2066</v>
      </c>
      <c r="B47" s="95">
        <v>209954025.009141</v>
      </c>
    </row>
    <row r="48" spans="1:2">
      <c r="A48" s="84">
        <f t="shared" si="0"/>
        <v>2067</v>
      </c>
      <c r="B48" s="95">
        <v>212002123.00082472</v>
      </c>
    </row>
    <row r="49" spans="1:2">
      <c r="A49" s="84">
        <f t="shared" si="0"/>
        <v>2068</v>
      </c>
      <c r="B49" s="95">
        <v>214070976.79734319</v>
      </c>
    </row>
    <row r="50" spans="1:2">
      <c r="A50" s="84">
        <f t="shared" si="0"/>
        <v>2069</v>
      </c>
      <c r="B50" s="95">
        <v>216160798.59457305</v>
      </c>
    </row>
    <row r="51" spans="1:2">
      <c r="A51" s="84">
        <f t="shared" si="0"/>
        <v>2070</v>
      </c>
      <c r="B51" s="95">
        <v>218271802.76202235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tabSelected="1" workbookViewId="0">
      <selection activeCell="A2" sqref="A2"/>
    </sheetView>
  </sheetViews>
  <sheetFormatPr defaultRowHeight="12.75"/>
  <cols>
    <col min="1" max="1" width="5.7109375" customWidth="1"/>
  </cols>
  <sheetData>
    <row r="1" spans="1:2">
      <c r="A1" s="194" t="s">
        <v>85</v>
      </c>
    </row>
    <row r="2" spans="1:2">
      <c r="A2" s="194" t="s">
        <v>81</v>
      </c>
    </row>
    <row r="3" spans="1:2">
      <c r="A3" t="s">
        <v>35</v>
      </c>
    </row>
    <row r="5" spans="1:2">
      <c r="B5" s="139" t="s">
        <v>72</v>
      </c>
    </row>
    <row r="6" spans="1:2">
      <c r="B6" s="139" t="s">
        <v>77</v>
      </c>
    </row>
    <row r="7" spans="1:2">
      <c r="B7" s="139" t="s">
        <v>73</v>
      </c>
    </row>
    <row r="8" spans="1:2">
      <c r="B8" s="139" t="s">
        <v>74</v>
      </c>
    </row>
    <row r="9" spans="1:2">
      <c r="B9" s="139" t="s">
        <v>75</v>
      </c>
    </row>
    <row r="11" spans="1:2">
      <c r="A11" s="140" t="s">
        <v>76</v>
      </c>
    </row>
  </sheetData>
  <phoneticPr fontId="4" type="noConversion"/>
  <pageMargins left="0.75" right="0.75" top="1" bottom="1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Level Rate -- TRC</vt:lpstr>
      <vt:lpstr>Fixed Costs - TRC</vt:lpstr>
      <vt:lpstr>NEL</vt:lpstr>
      <vt:lpstr>How_to_use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2024-05-09T00:27:20Z</dcterms:created>
  <dcterms:modified xsi:type="dcterms:W3CDTF">2024-05-09T00:27:24Z</dcterms:modified>
</cp:coreProperties>
</file>