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429276D-43F6-401C-947A-F61E09171F5F}" xr6:coauthVersionLast="47" xr6:coauthVersionMax="47" xr10:uidLastSave="{00000000-0000-0000-0000-000000000000}"/>
  <bookViews>
    <workbookView xWindow="900" yWindow="345" windowWidth="27420" windowHeight="14175" firstSheet="2" activeTab="9" xr2:uid="{4EDC53BA-C09A-4C0F-9127-AD79C26CD02F}"/>
  </bookViews>
  <sheets>
    <sheet name="JNF-1" sheetId="1" r:id="rId1"/>
    <sheet name="RES Gen" sheetId="6" r:id="rId2"/>
    <sheet name="BS Gen" sheetId="7" r:id="rId3"/>
    <sheet name="DR" sheetId="9" r:id="rId4"/>
    <sheet name="RES GWH Cum" sheetId="2" r:id="rId5"/>
    <sheet name="BS Gen Cum" sheetId="3" r:id="rId6"/>
    <sheet name="Res. Installs Discontinued" sheetId="4" r:id="rId7"/>
    <sheet name="BS Installs Discontinued" sheetId="5" r:id="rId8"/>
    <sheet name="Installs" sheetId="8" r:id="rId9"/>
    <sheet name="Total Raw Data" sheetId="10" r:id="rId10"/>
  </sheets>
  <definedNames>
    <definedName name="\A">#REF!</definedName>
    <definedName name="\A2">#REF!</definedName>
    <definedName name="\B">#REF!</definedName>
    <definedName name="\C">#REF!</definedName>
    <definedName name="\d" localSheetId="9">#REF!</definedName>
    <definedName name="\d">#REF!</definedName>
    <definedName name="\K" localSheetId="9">#REF!</definedName>
    <definedName name="\K">#REF!</definedName>
    <definedName name="\l" localSheetId="9">#REF!</definedName>
    <definedName name="\l">#REF!</definedName>
    <definedName name="\P" localSheetId="9">#REF!</definedName>
    <definedName name="\P">#REF!</definedName>
    <definedName name="\S" localSheetId="9">#REF!</definedName>
    <definedName name="\S">#REF!</definedName>
    <definedName name="\W" localSheetId="9">#REF!</definedName>
    <definedName name="\W">#REF!</definedName>
    <definedName name="\y" localSheetId="9">#REF!</definedName>
    <definedName name="\y">#REF!</definedName>
    <definedName name="\Z" localSheetId="9">#REF!</definedName>
    <definedName name="\Z">#REF!</definedName>
    <definedName name="_________________________DSO1" localSheetId="2" hidden="1">{#N/A,#N/A,FALSE,"Cover";"NI_Mon.Qtr.YTD",#N/A,FALSE,"Net Income";"Earnings_Month.Qtr.YTD",#N/A,FALSE,"Earnings";#N/A,#N/A,FALSE,"Indicators"}</definedName>
    <definedName name="_________________________DSO1" localSheetId="5" hidden="1">{#N/A,#N/A,FALSE,"Cover";"NI_Mon.Qtr.YTD",#N/A,FALSE,"Net Income";"Earnings_Month.Qtr.YTD",#N/A,FALSE,"Earnings";#N/A,#N/A,FALSE,"Indicators"}</definedName>
    <definedName name="_________________________DSO1" localSheetId="7" hidden="1">{#N/A,#N/A,FALSE,"Cover";"NI_Mon.Qtr.YTD",#N/A,FALSE,"Net Income";"Earnings_Month.Qtr.YTD",#N/A,FALSE,"Earnings";#N/A,#N/A,FALSE,"Indicators"}</definedName>
    <definedName name="_________________________DSO1" localSheetId="8" hidden="1">{#N/A,#N/A,FALSE,"Cover";"NI_Mon.Qtr.YTD",#N/A,FALSE,"Net Income";"Earnings_Month.Qtr.YTD",#N/A,FALSE,"Earnings";#N/A,#N/A,FALSE,"Indicators"}</definedName>
    <definedName name="_________________________DSO1" localSheetId="1" hidden="1">{#N/A,#N/A,FALSE,"Cover";"NI_Mon.Qtr.YTD",#N/A,FALSE,"Net Income";"Earnings_Month.Qtr.YTD",#N/A,FALSE,"Earnings";#N/A,#N/A,FALSE,"Indicators"}</definedName>
    <definedName name="_________________________DSO1" localSheetId="6" hidden="1">{#N/A,#N/A,FALSE,"Cover";"NI_Mon.Qtr.YTD",#N/A,FALSE,"Net Income";"Earnings_Month.Qtr.YTD",#N/A,FALSE,"Earnings";#N/A,#N/A,FALSE,"Indicators"}</definedName>
    <definedName name="_________________________DSO1" localSheetId="9" hidden="1">{#N/A,#N/A,FALSE,"Cover";"NI_Mon.Qtr.YTD",#N/A,FALSE,"Net Income";"Earnings_Month.Qtr.YTD",#N/A,FALSE,"Earnings";#N/A,#N/A,FALSE,"Indicators"}</definedName>
    <definedName name="_________________________DSO1" hidden="1">{#N/A,#N/A,FALSE,"Cover";"NI_Mon.Qtr.YTD",#N/A,FALSE,"Net Income";"Earnings_Month.Qtr.YTD",#N/A,FALSE,"Earnings";#N/A,#N/A,FALSE,"Indicators"}</definedName>
    <definedName name="________________________DSO1" localSheetId="2" hidden="1">{#N/A,#N/A,FALSE,"Cover";"NI_Mon.Qtr.YTD",#N/A,FALSE,"Net Income";"Earnings_Month.Qtr.YTD",#N/A,FALSE,"Earnings";#N/A,#N/A,FALSE,"Indicators"}</definedName>
    <definedName name="________________________DSO1" localSheetId="5" hidden="1">{#N/A,#N/A,FALSE,"Cover";"NI_Mon.Qtr.YTD",#N/A,FALSE,"Net Income";"Earnings_Month.Qtr.YTD",#N/A,FALSE,"Earnings";#N/A,#N/A,FALSE,"Indicators"}</definedName>
    <definedName name="________________________DSO1" localSheetId="7" hidden="1">{#N/A,#N/A,FALSE,"Cover";"NI_Mon.Qtr.YTD",#N/A,FALSE,"Net Income";"Earnings_Month.Qtr.YTD",#N/A,FALSE,"Earnings";#N/A,#N/A,FALSE,"Indicators"}</definedName>
    <definedName name="________________________DSO1" localSheetId="8" hidden="1">{#N/A,#N/A,FALSE,"Cover";"NI_Mon.Qtr.YTD",#N/A,FALSE,"Net Income";"Earnings_Month.Qtr.YTD",#N/A,FALSE,"Earnings";#N/A,#N/A,FALSE,"Indicators"}</definedName>
    <definedName name="________________________DSO1" localSheetId="1" hidden="1">{#N/A,#N/A,FALSE,"Cover";"NI_Mon.Qtr.YTD",#N/A,FALSE,"Net Income";"Earnings_Month.Qtr.YTD",#N/A,FALSE,"Earnings";#N/A,#N/A,FALSE,"Indicators"}</definedName>
    <definedName name="________________________DSO1" localSheetId="6" hidden="1">{#N/A,#N/A,FALSE,"Cover";"NI_Mon.Qtr.YTD",#N/A,FALSE,"Net Income";"Earnings_Month.Qtr.YTD",#N/A,FALSE,"Earnings";#N/A,#N/A,FALSE,"Indicators"}</definedName>
    <definedName name="________________________DSO1" localSheetId="9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localSheetId="2" hidden="1">{#N/A,#N/A,FALSE,"Cover";"NI_Mon.Qtr.YTD",#N/A,FALSE,"Net Income";"Earnings_Month.Qtr.YTD",#N/A,FALSE,"Earnings";#N/A,#N/A,FALSE,"Indicators"}</definedName>
    <definedName name="_______________________DSO1" localSheetId="5" hidden="1">{#N/A,#N/A,FALSE,"Cover";"NI_Mon.Qtr.YTD",#N/A,FALSE,"Net Income";"Earnings_Month.Qtr.YTD",#N/A,FALSE,"Earnings";#N/A,#N/A,FALSE,"Indicators"}</definedName>
    <definedName name="_______________________DSO1" localSheetId="7" hidden="1">{#N/A,#N/A,FALSE,"Cover";"NI_Mon.Qtr.YTD",#N/A,FALSE,"Net Income";"Earnings_Month.Qtr.YTD",#N/A,FALSE,"Earnings";#N/A,#N/A,FALSE,"Indicators"}</definedName>
    <definedName name="_______________________DSO1" localSheetId="8" hidden="1">{#N/A,#N/A,FALSE,"Cover";"NI_Mon.Qtr.YTD",#N/A,FALSE,"Net Income";"Earnings_Month.Qtr.YTD",#N/A,FALSE,"Earnings";#N/A,#N/A,FALSE,"Indicators"}</definedName>
    <definedName name="_______________________DSO1" localSheetId="1" hidden="1">{#N/A,#N/A,FALSE,"Cover";"NI_Mon.Qtr.YTD",#N/A,FALSE,"Net Income";"Earnings_Month.Qtr.YTD",#N/A,FALSE,"Earnings";#N/A,#N/A,FALSE,"Indicators"}</definedName>
    <definedName name="_______________________DSO1" localSheetId="6" hidden="1">{#N/A,#N/A,FALSE,"Cover";"NI_Mon.Qtr.YTD",#N/A,FALSE,"Net Income";"Earnings_Month.Qtr.YTD",#N/A,FALSE,"Earnings";#N/A,#N/A,FALSE,"Indicators"}</definedName>
    <definedName name="_______________________DSO1" localSheetId="9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localSheetId="2" hidden="1">{#N/A,#N/A,FALSE,"Cover";"NI_Mon.Qtr.YTD",#N/A,FALSE,"Net Income";"Earnings_Month.Qtr.YTD",#N/A,FALSE,"Earnings";#N/A,#N/A,FALSE,"Indicators"}</definedName>
    <definedName name="______________________DSO1" localSheetId="5" hidden="1">{#N/A,#N/A,FALSE,"Cover";"NI_Mon.Qtr.YTD",#N/A,FALSE,"Net Income";"Earnings_Month.Qtr.YTD",#N/A,FALSE,"Earnings";#N/A,#N/A,FALSE,"Indicators"}</definedName>
    <definedName name="______________________DSO1" localSheetId="7" hidden="1">{#N/A,#N/A,FALSE,"Cover";"NI_Mon.Qtr.YTD",#N/A,FALSE,"Net Income";"Earnings_Month.Qtr.YTD",#N/A,FALSE,"Earnings";#N/A,#N/A,FALSE,"Indicators"}</definedName>
    <definedName name="______________________DSO1" localSheetId="8" hidden="1">{#N/A,#N/A,FALSE,"Cover";"NI_Mon.Qtr.YTD",#N/A,FALSE,"Net Income";"Earnings_Month.Qtr.YTD",#N/A,FALSE,"Earnings";#N/A,#N/A,FALSE,"Indicators"}</definedName>
    <definedName name="______________________DSO1" localSheetId="1" hidden="1">{#N/A,#N/A,FALSE,"Cover";"NI_Mon.Qtr.YTD",#N/A,FALSE,"Net Income";"Earnings_Month.Qtr.YTD",#N/A,FALSE,"Earnings";#N/A,#N/A,FALSE,"Indicators"}</definedName>
    <definedName name="______________________DSO1" localSheetId="6" hidden="1">{#N/A,#N/A,FALSE,"Cover";"NI_Mon.Qtr.YTD",#N/A,FALSE,"Net Income";"Earnings_Month.Qtr.YTD",#N/A,FALSE,"Earnings";#N/A,#N/A,FALSE,"Indicators"}</definedName>
    <definedName name="______________________DSO1" localSheetId="9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localSheetId="2" hidden="1">{#N/A,#N/A,FALSE,"Cover";"NI_Mon.Qtr.YTD",#N/A,FALSE,"Net Income";"Earnings_Month.Qtr.YTD",#N/A,FALSE,"Earnings";#N/A,#N/A,FALSE,"Indicators"}</definedName>
    <definedName name="_____________________DSO1" localSheetId="5" hidden="1">{#N/A,#N/A,FALSE,"Cover";"NI_Mon.Qtr.YTD",#N/A,FALSE,"Net Income";"Earnings_Month.Qtr.YTD",#N/A,FALSE,"Earnings";#N/A,#N/A,FALSE,"Indicators"}</definedName>
    <definedName name="_____________________DSO1" localSheetId="7" hidden="1">{#N/A,#N/A,FALSE,"Cover";"NI_Mon.Qtr.YTD",#N/A,FALSE,"Net Income";"Earnings_Month.Qtr.YTD",#N/A,FALSE,"Earnings";#N/A,#N/A,FALSE,"Indicators"}</definedName>
    <definedName name="_____________________DSO1" localSheetId="8" hidden="1">{#N/A,#N/A,FALSE,"Cover";"NI_Mon.Qtr.YTD",#N/A,FALSE,"Net Income";"Earnings_Month.Qtr.YTD",#N/A,FALSE,"Earnings";#N/A,#N/A,FALSE,"Indicators"}</definedName>
    <definedName name="_____________________DSO1" localSheetId="1" hidden="1">{#N/A,#N/A,FALSE,"Cover";"NI_Mon.Qtr.YTD",#N/A,FALSE,"Net Income";"Earnings_Month.Qtr.YTD",#N/A,FALSE,"Earnings";#N/A,#N/A,FALSE,"Indicators"}</definedName>
    <definedName name="_____________________DSO1" localSheetId="6" hidden="1">{#N/A,#N/A,FALSE,"Cover";"NI_Mon.Qtr.YTD",#N/A,FALSE,"Net Income";"Earnings_Month.Qtr.YTD",#N/A,FALSE,"Earnings";#N/A,#N/A,FALSE,"Indicators"}</definedName>
    <definedName name="_____________________DSO1" localSheetId="9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localSheetId="2" hidden="1">{#N/A,#N/A,FALSE,"Cover";"NI_Mon.Qtr.YTD",#N/A,FALSE,"Net Income";"Earnings_Month.Qtr.YTD",#N/A,FALSE,"Earnings";#N/A,#N/A,FALSE,"Indicators"}</definedName>
    <definedName name="____________________DSO1" localSheetId="5" hidden="1">{#N/A,#N/A,FALSE,"Cover";"NI_Mon.Qtr.YTD",#N/A,FALSE,"Net Income";"Earnings_Month.Qtr.YTD",#N/A,FALSE,"Earnings";#N/A,#N/A,FALSE,"Indicators"}</definedName>
    <definedName name="____________________DSO1" localSheetId="7" hidden="1">{#N/A,#N/A,FALSE,"Cover";"NI_Mon.Qtr.YTD",#N/A,FALSE,"Net Income";"Earnings_Month.Qtr.YTD",#N/A,FALSE,"Earnings";#N/A,#N/A,FALSE,"Indicators"}</definedName>
    <definedName name="____________________DSO1" localSheetId="8" hidden="1">{#N/A,#N/A,FALSE,"Cover";"NI_Mon.Qtr.YTD",#N/A,FALSE,"Net Income";"Earnings_Month.Qtr.YTD",#N/A,FALSE,"Earnings";#N/A,#N/A,FALSE,"Indicators"}</definedName>
    <definedName name="____________________DSO1" localSheetId="1" hidden="1">{#N/A,#N/A,FALSE,"Cover";"NI_Mon.Qtr.YTD",#N/A,FALSE,"Net Income";"Earnings_Month.Qtr.YTD",#N/A,FALSE,"Earnings";#N/A,#N/A,FALSE,"Indicators"}</definedName>
    <definedName name="____________________DSO1" localSheetId="6" hidden="1">{#N/A,#N/A,FALSE,"Cover";"NI_Mon.Qtr.YTD",#N/A,FALSE,"Net Income";"Earnings_Month.Qtr.YTD",#N/A,FALSE,"Earnings";#N/A,#N/A,FALSE,"Indicators"}</definedName>
    <definedName name="____________________DSO1" localSheetId="9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localSheetId="2" hidden="1">{#N/A,#N/A,FALSE,"Cover";"NI_Mon.Qtr.YTD",#N/A,FALSE,"Net Income";"Earnings_Month.Qtr.YTD",#N/A,FALSE,"Earnings";#N/A,#N/A,FALSE,"Indicators"}</definedName>
    <definedName name="___________________DSO1" localSheetId="5" hidden="1">{#N/A,#N/A,FALSE,"Cover";"NI_Mon.Qtr.YTD",#N/A,FALSE,"Net Income";"Earnings_Month.Qtr.YTD",#N/A,FALSE,"Earnings";#N/A,#N/A,FALSE,"Indicators"}</definedName>
    <definedName name="___________________DSO1" localSheetId="7" hidden="1">{#N/A,#N/A,FALSE,"Cover";"NI_Mon.Qtr.YTD",#N/A,FALSE,"Net Income";"Earnings_Month.Qtr.YTD",#N/A,FALSE,"Earnings";#N/A,#N/A,FALSE,"Indicators"}</definedName>
    <definedName name="___________________DSO1" localSheetId="8" hidden="1">{#N/A,#N/A,FALSE,"Cover";"NI_Mon.Qtr.YTD",#N/A,FALSE,"Net Income";"Earnings_Month.Qtr.YTD",#N/A,FALSE,"Earnings";#N/A,#N/A,FALSE,"Indicators"}</definedName>
    <definedName name="___________________DSO1" localSheetId="1" hidden="1">{#N/A,#N/A,FALSE,"Cover";"NI_Mon.Qtr.YTD",#N/A,FALSE,"Net Income";"Earnings_Month.Qtr.YTD",#N/A,FALSE,"Earnings";#N/A,#N/A,FALSE,"Indicators"}</definedName>
    <definedName name="___________________DSO1" localSheetId="6" hidden="1">{#N/A,#N/A,FALSE,"Cover";"NI_Mon.Qtr.YTD",#N/A,FALSE,"Net Income";"Earnings_Month.Qtr.YTD",#N/A,FALSE,"Earnings";#N/A,#N/A,FALSE,"Indicators"}</definedName>
    <definedName name="___________________DSO1" localSheetId="9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localSheetId="2" hidden="1">{#N/A,#N/A,FALSE,"Cover";"NI_Mon.Qtr.YTD",#N/A,FALSE,"Net Income";"Earnings_Month.Qtr.YTD",#N/A,FALSE,"Earnings";#N/A,#N/A,FALSE,"Indicators"}</definedName>
    <definedName name="__________________DSO1" localSheetId="5" hidden="1">{#N/A,#N/A,FALSE,"Cover";"NI_Mon.Qtr.YTD",#N/A,FALSE,"Net Income";"Earnings_Month.Qtr.YTD",#N/A,FALSE,"Earnings";#N/A,#N/A,FALSE,"Indicators"}</definedName>
    <definedName name="__________________DSO1" localSheetId="7" hidden="1">{#N/A,#N/A,FALSE,"Cover";"NI_Mon.Qtr.YTD",#N/A,FALSE,"Net Income";"Earnings_Month.Qtr.YTD",#N/A,FALSE,"Earnings";#N/A,#N/A,FALSE,"Indicators"}</definedName>
    <definedName name="__________________DSO1" localSheetId="8" hidden="1">{#N/A,#N/A,FALSE,"Cover";"NI_Mon.Qtr.YTD",#N/A,FALSE,"Net Income";"Earnings_Month.Qtr.YTD",#N/A,FALSE,"Earnings";#N/A,#N/A,FALSE,"Indicators"}</definedName>
    <definedName name="__________________DSO1" localSheetId="1" hidden="1">{#N/A,#N/A,FALSE,"Cover";"NI_Mon.Qtr.YTD",#N/A,FALSE,"Net Income";"Earnings_Month.Qtr.YTD",#N/A,FALSE,"Earnings";#N/A,#N/A,FALSE,"Indicators"}</definedName>
    <definedName name="__________________DSO1" localSheetId="6" hidden="1">{#N/A,#N/A,FALSE,"Cover";"NI_Mon.Qtr.YTD",#N/A,FALSE,"Net Income";"Earnings_Month.Qtr.YTD",#N/A,FALSE,"Earnings";#N/A,#N/A,FALSE,"Indicators"}</definedName>
    <definedName name="__________________DSO1" localSheetId="9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localSheetId="2" hidden="1">{#N/A,#N/A,FALSE,"Cover";"NI_Mon.Qtr.YTD",#N/A,FALSE,"Net Income";"Earnings_Month.Qtr.YTD",#N/A,FALSE,"Earnings";#N/A,#N/A,FALSE,"Indicators"}</definedName>
    <definedName name="_________________DSO1" localSheetId="5" hidden="1">{#N/A,#N/A,FALSE,"Cover";"NI_Mon.Qtr.YTD",#N/A,FALSE,"Net Income";"Earnings_Month.Qtr.YTD",#N/A,FALSE,"Earnings";#N/A,#N/A,FALSE,"Indicators"}</definedName>
    <definedName name="_________________DSO1" localSheetId="7" hidden="1">{#N/A,#N/A,FALSE,"Cover";"NI_Mon.Qtr.YTD",#N/A,FALSE,"Net Income";"Earnings_Month.Qtr.YTD",#N/A,FALSE,"Earnings";#N/A,#N/A,FALSE,"Indicators"}</definedName>
    <definedName name="_________________DSO1" localSheetId="8" hidden="1">{#N/A,#N/A,FALSE,"Cover";"NI_Mon.Qtr.YTD",#N/A,FALSE,"Net Income";"Earnings_Month.Qtr.YTD",#N/A,FALSE,"Earnings";#N/A,#N/A,FALSE,"Indicators"}</definedName>
    <definedName name="_________________DSO1" localSheetId="1" hidden="1">{#N/A,#N/A,FALSE,"Cover";"NI_Mon.Qtr.YTD",#N/A,FALSE,"Net Income";"Earnings_Month.Qtr.YTD",#N/A,FALSE,"Earnings";#N/A,#N/A,FALSE,"Indicators"}</definedName>
    <definedName name="_________________DSO1" localSheetId="6" hidden="1">{#N/A,#N/A,FALSE,"Cover";"NI_Mon.Qtr.YTD",#N/A,FALSE,"Net Income";"Earnings_Month.Qtr.YTD",#N/A,FALSE,"Earnings";#N/A,#N/A,FALSE,"Indicators"}</definedName>
    <definedName name="_________________DSO1" localSheetId="9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localSheetId="2" hidden="1">{#N/A,#N/A,FALSE,"Cover";"NI_Mon.Qtr.YTD",#N/A,FALSE,"Net Income";"Earnings_Month.Qtr.YTD",#N/A,FALSE,"Earnings";#N/A,#N/A,FALSE,"Indicators"}</definedName>
    <definedName name="________________DSO1" localSheetId="5" hidden="1">{#N/A,#N/A,FALSE,"Cover";"NI_Mon.Qtr.YTD",#N/A,FALSE,"Net Income";"Earnings_Month.Qtr.YTD",#N/A,FALSE,"Earnings";#N/A,#N/A,FALSE,"Indicators"}</definedName>
    <definedName name="________________DSO1" localSheetId="7" hidden="1">{#N/A,#N/A,FALSE,"Cover";"NI_Mon.Qtr.YTD",#N/A,FALSE,"Net Income";"Earnings_Month.Qtr.YTD",#N/A,FALSE,"Earnings";#N/A,#N/A,FALSE,"Indicators"}</definedName>
    <definedName name="________________DSO1" localSheetId="8" hidden="1">{#N/A,#N/A,FALSE,"Cover";"NI_Mon.Qtr.YTD",#N/A,FALSE,"Net Income";"Earnings_Month.Qtr.YTD",#N/A,FALSE,"Earnings";#N/A,#N/A,FALSE,"Indicators"}</definedName>
    <definedName name="________________DSO1" localSheetId="1" hidden="1">{#N/A,#N/A,FALSE,"Cover";"NI_Mon.Qtr.YTD",#N/A,FALSE,"Net Income";"Earnings_Month.Qtr.YTD",#N/A,FALSE,"Earnings";#N/A,#N/A,FALSE,"Indicators"}</definedName>
    <definedName name="________________DSO1" localSheetId="6" hidden="1">{#N/A,#N/A,FALSE,"Cover";"NI_Mon.Qtr.YTD",#N/A,FALSE,"Net Income";"Earnings_Month.Qtr.YTD",#N/A,FALSE,"Earnings";#N/A,#N/A,FALSE,"Indicators"}</definedName>
    <definedName name="________________DSO1" localSheetId="9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localSheetId="2" hidden="1">{#N/A,#N/A,FALSE,"Cover";"NI_Mon.Qtr.YTD",#N/A,FALSE,"Net Income";"Earnings_Month.Qtr.YTD",#N/A,FALSE,"Earnings";#N/A,#N/A,FALSE,"Indicators"}</definedName>
    <definedName name="_______________DSO1" localSheetId="5" hidden="1">{#N/A,#N/A,FALSE,"Cover";"NI_Mon.Qtr.YTD",#N/A,FALSE,"Net Income";"Earnings_Month.Qtr.YTD",#N/A,FALSE,"Earnings";#N/A,#N/A,FALSE,"Indicators"}</definedName>
    <definedName name="_______________DSO1" localSheetId="7" hidden="1">{#N/A,#N/A,FALSE,"Cover";"NI_Mon.Qtr.YTD",#N/A,FALSE,"Net Income";"Earnings_Month.Qtr.YTD",#N/A,FALSE,"Earnings";#N/A,#N/A,FALSE,"Indicators"}</definedName>
    <definedName name="_______________DSO1" localSheetId="8" hidden="1">{#N/A,#N/A,FALSE,"Cover";"NI_Mon.Qtr.YTD",#N/A,FALSE,"Net Income";"Earnings_Month.Qtr.YTD",#N/A,FALSE,"Earnings";#N/A,#N/A,FALSE,"Indicators"}</definedName>
    <definedName name="_______________DSO1" localSheetId="1" hidden="1">{#N/A,#N/A,FALSE,"Cover";"NI_Mon.Qtr.YTD",#N/A,FALSE,"Net Income";"Earnings_Month.Qtr.YTD",#N/A,FALSE,"Earnings";#N/A,#N/A,FALSE,"Indicators"}</definedName>
    <definedName name="_______________DSO1" localSheetId="6" hidden="1">{#N/A,#N/A,FALSE,"Cover";"NI_Mon.Qtr.YTD",#N/A,FALSE,"Net Income";"Earnings_Month.Qtr.YTD",#N/A,FALSE,"Earnings";#N/A,#N/A,FALSE,"Indicators"}</definedName>
    <definedName name="_______________DSO1" localSheetId="9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DSO1" localSheetId="2" hidden="1">{#N/A,#N/A,FALSE,"Cover";"NI_Mon.Qtr.YTD",#N/A,FALSE,"Net Income";"Earnings_Month.Qtr.YTD",#N/A,FALSE,"Earnings";#N/A,#N/A,FALSE,"Indicators"}</definedName>
    <definedName name="______________DSO1" localSheetId="5" hidden="1">{#N/A,#N/A,FALSE,"Cover";"NI_Mon.Qtr.YTD",#N/A,FALSE,"Net Income";"Earnings_Month.Qtr.YTD",#N/A,FALSE,"Earnings";#N/A,#N/A,FALSE,"Indicators"}</definedName>
    <definedName name="______________DSO1" localSheetId="7" hidden="1">{#N/A,#N/A,FALSE,"Cover";"NI_Mon.Qtr.YTD",#N/A,FALSE,"Net Income";"Earnings_Month.Qtr.YTD",#N/A,FALSE,"Earnings";#N/A,#N/A,FALSE,"Indicators"}</definedName>
    <definedName name="______________DSO1" localSheetId="8" hidden="1">{#N/A,#N/A,FALSE,"Cover";"NI_Mon.Qtr.YTD",#N/A,FALSE,"Net Income";"Earnings_Month.Qtr.YTD",#N/A,FALSE,"Earnings";#N/A,#N/A,FALSE,"Indicators"}</definedName>
    <definedName name="______________DSO1" localSheetId="1" hidden="1">{#N/A,#N/A,FALSE,"Cover";"NI_Mon.Qtr.YTD",#N/A,FALSE,"Net Income";"Earnings_Month.Qtr.YTD",#N/A,FALSE,"Earnings";#N/A,#N/A,FALSE,"Indicators"}</definedName>
    <definedName name="______________DSO1" localSheetId="6" hidden="1">{#N/A,#N/A,FALSE,"Cover";"NI_Mon.Qtr.YTD",#N/A,FALSE,"Net Income";"Earnings_Month.Qtr.YTD",#N/A,FALSE,"Earnings";#N/A,#N/A,FALSE,"Indicators"}</definedName>
    <definedName name="______________DSO1" localSheetId="9" hidden="1">{#N/A,#N/A,FALSE,"Cover";"NI_Mon.Qtr.YTD",#N/A,FALSE,"Net Income";"Earnings_Month.Qtr.YTD",#N/A,FALSE,"Earnings";#N/A,#N/A,FALSE,"Indicators"}</definedName>
    <definedName name="______________DSO1" hidden="1">{#N/A,#N/A,FALSE,"Cover";"NI_Mon.Qtr.YTD",#N/A,FALSE,"Net Income";"Earnings_Month.Qtr.YTD",#N/A,FALSE,"Earnings";#N/A,#N/A,FALSE,"Indicators"}</definedName>
    <definedName name="_____________DSO1" localSheetId="2" hidden="1">{#N/A,#N/A,FALSE,"Cover";"NI_Mon.Qtr.YTD",#N/A,FALSE,"Net Income";"Earnings_Month.Qtr.YTD",#N/A,FALSE,"Earnings";#N/A,#N/A,FALSE,"Indicators"}</definedName>
    <definedName name="_____________DSO1" localSheetId="5" hidden="1">{#N/A,#N/A,FALSE,"Cover";"NI_Mon.Qtr.YTD",#N/A,FALSE,"Net Income";"Earnings_Month.Qtr.YTD",#N/A,FALSE,"Earnings";#N/A,#N/A,FALSE,"Indicators"}</definedName>
    <definedName name="_____________DSO1" localSheetId="7" hidden="1">{#N/A,#N/A,FALSE,"Cover";"NI_Mon.Qtr.YTD",#N/A,FALSE,"Net Income";"Earnings_Month.Qtr.YTD",#N/A,FALSE,"Earnings";#N/A,#N/A,FALSE,"Indicators"}</definedName>
    <definedName name="_____________DSO1" localSheetId="8" hidden="1">{#N/A,#N/A,FALSE,"Cover";"NI_Mon.Qtr.YTD",#N/A,FALSE,"Net Income";"Earnings_Month.Qtr.YTD",#N/A,FALSE,"Earnings";#N/A,#N/A,FALSE,"Indicators"}</definedName>
    <definedName name="_____________DSO1" localSheetId="1" hidden="1">{#N/A,#N/A,FALSE,"Cover";"NI_Mon.Qtr.YTD",#N/A,FALSE,"Net Income";"Earnings_Month.Qtr.YTD",#N/A,FALSE,"Earnings";#N/A,#N/A,FALSE,"Indicators"}</definedName>
    <definedName name="_____________DSO1" localSheetId="6" hidden="1">{#N/A,#N/A,FALSE,"Cover";"NI_Mon.Qtr.YTD",#N/A,FALSE,"Net Income";"Earnings_Month.Qtr.YTD",#N/A,FALSE,"Earnings";#N/A,#N/A,FALSE,"Indicators"}</definedName>
    <definedName name="_____________DSO1" localSheetId="9" hidden="1">{#N/A,#N/A,FALSE,"Cover";"NI_Mon.Qtr.YTD",#N/A,FALSE,"Net Income";"Earnings_Month.Qtr.YTD",#N/A,FALSE,"Earnings";#N/A,#N/A,FALSE,"Indicators"}</definedName>
    <definedName name="_____________DSO1" hidden="1">{#N/A,#N/A,FALSE,"Cover";"NI_Mon.Qtr.YTD",#N/A,FALSE,"Net Income";"Earnings_Month.Qtr.YTD",#N/A,FALSE,"Earnings";#N/A,#N/A,FALSE,"Indicators"}</definedName>
    <definedName name="____________DSO1" localSheetId="2" hidden="1">{#N/A,#N/A,FALSE,"Cover";"NI_Mon.Qtr.YTD",#N/A,FALSE,"Net Income";"Earnings_Month.Qtr.YTD",#N/A,FALSE,"Earnings";#N/A,#N/A,FALSE,"Indicators"}</definedName>
    <definedName name="____________DSO1" localSheetId="5" hidden="1">{#N/A,#N/A,FALSE,"Cover";"NI_Mon.Qtr.YTD",#N/A,FALSE,"Net Income";"Earnings_Month.Qtr.YTD",#N/A,FALSE,"Earnings";#N/A,#N/A,FALSE,"Indicators"}</definedName>
    <definedName name="____________DSO1" localSheetId="7" hidden="1">{#N/A,#N/A,FALSE,"Cover";"NI_Mon.Qtr.YTD",#N/A,FALSE,"Net Income";"Earnings_Month.Qtr.YTD",#N/A,FALSE,"Earnings";#N/A,#N/A,FALSE,"Indicators"}</definedName>
    <definedName name="____________DSO1" localSheetId="8" hidden="1">{#N/A,#N/A,FALSE,"Cover";"NI_Mon.Qtr.YTD",#N/A,FALSE,"Net Income";"Earnings_Month.Qtr.YTD",#N/A,FALSE,"Earnings";#N/A,#N/A,FALSE,"Indicators"}</definedName>
    <definedName name="____________DSO1" localSheetId="1" hidden="1">{#N/A,#N/A,FALSE,"Cover";"NI_Mon.Qtr.YTD",#N/A,FALSE,"Net Income";"Earnings_Month.Qtr.YTD",#N/A,FALSE,"Earnings";#N/A,#N/A,FALSE,"Indicators"}</definedName>
    <definedName name="____________DSO1" localSheetId="6" hidden="1">{#N/A,#N/A,FALSE,"Cover";"NI_Mon.Qtr.YTD",#N/A,FALSE,"Net Income";"Earnings_Month.Qtr.YTD",#N/A,FALSE,"Earnings";#N/A,#N/A,FALSE,"Indicators"}</definedName>
    <definedName name="____________DSO1" localSheetId="9" hidden="1">{#N/A,#N/A,FALSE,"Cover";"NI_Mon.Qtr.YTD",#N/A,FALSE,"Net Income";"Earnings_Month.Qtr.YTD",#N/A,FALSE,"Earnings";#N/A,#N/A,FALSE,"Indicators"}</definedName>
    <definedName name="____________DSO1" hidden="1">{#N/A,#N/A,FALSE,"Cover";"NI_Mon.Qtr.YTD",#N/A,FALSE,"Net Income";"Earnings_Month.Qtr.YTD",#N/A,FALSE,"Earnings";#N/A,#N/A,FALSE,"Indicators"}</definedName>
    <definedName name="___________DSO1" localSheetId="2" hidden="1">{#N/A,#N/A,FALSE,"Cover";"NI_Mon.Qtr.YTD",#N/A,FALSE,"Net Income";"Earnings_Month.Qtr.YTD",#N/A,FALSE,"Earnings";#N/A,#N/A,FALSE,"Indicators"}</definedName>
    <definedName name="___________DSO1" localSheetId="5" hidden="1">{#N/A,#N/A,FALSE,"Cover";"NI_Mon.Qtr.YTD",#N/A,FALSE,"Net Income";"Earnings_Month.Qtr.YTD",#N/A,FALSE,"Earnings";#N/A,#N/A,FALSE,"Indicators"}</definedName>
    <definedName name="___________DSO1" localSheetId="7" hidden="1">{#N/A,#N/A,FALSE,"Cover";"NI_Mon.Qtr.YTD",#N/A,FALSE,"Net Income";"Earnings_Month.Qtr.YTD",#N/A,FALSE,"Earnings";#N/A,#N/A,FALSE,"Indicators"}</definedName>
    <definedName name="___________DSO1" localSheetId="8" hidden="1">{#N/A,#N/A,FALSE,"Cover";"NI_Mon.Qtr.YTD",#N/A,FALSE,"Net Income";"Earnings_Month.Qtr.YTD",#N/A,FALSE,"Earnings";#N/A,#N/A,FALSE,"Indicators"}</definedName>
    <definedName name="___________DSO1" localSheetId="1" hidden="1">{#N/A,#N/A,FALSE,"Cover";"NI_Mon.Qtr.YTD",#N/A,FALSE,"Net Income";"Earnings_Month.Qtr.YTD",#N/A,FALSE,"Earnings";#N/A,#N/A,FALSE,"Indicators"}</definedName>
    <definedName name="___________DSO1" localSheetId="6" hidden="1">{#N/A,#N/A,FALSE,"Cover";"NI_Mon.Qtr.YTD",#N/A,FALSE,"Net Income";"Earnings_Month.Qtr.YTD",#N/A,FALSE,"Earnings";#N/A,#N/A,FALSE,"Indicators"}</definedName>
    <definedName name="___________DSO1" localSheetId="9" hidden="1">{#N/A,#N/A,FALSE,"Cover";"NI_Mon.Qtr.YTD",#N/A,FALSE,"Net Income";"Earnings_Month.Qtr.YTD",#N/A,FALSE,"Earnings";#N/A,#N/A,FALSE,"Indicators"}</definedName>
    <definedName name="___________DSO1" hidden="1">{#N/A,#N/A,FALSE,"Cover";"NI_Mon.Qtr.YTD",#N/A,FALSE,"Net Income";"Earnings_Month.Qtr.YTD",#N/A,FALSE,"Earnings";#N/A,#N/A,FALSE,"Indicators"}</definedName>
    <definedName name="___________n4" localSheetId="2" hidden="1">{"EXCELHLP.HLP!1802";5;10;5;10;13;13;13;8;5;5;10;14;13;13;13;13;5;10;14;13;5;10;1;2;24}</definedName>
    <definedName name="___________n4" localSheetId="8" hidden="1">{"EXCELHLP.HLP!1802";5;10;5;10;13;13;13;8;5;5;10;14;13;13;13;13;5;10;14;13;5;10;1;2;24}</definedName>
    <definedName name="___________n4" localSheetId="9" hidden="1">{"EXCELHLP.HLP!1802";5;10;5;10;13;13;13;8;5;5;10;14;13;13;13;13;5;10;14;13;5;10;1;2;24}</definedName>
    <definedName name="___________n4" hidden="1">{"EXCELHLP.HLP!1802";5;10;5;10;13;13;13;8;5;5;10;14;13;13;13;13;5;10;14;13;5;10;1;2;24}</definedName>
    <definedName name="__________DSO1" localSheetId="2" hidden="1">{#N/A,#N/A,FALSE,"Cover";"NI_Mon.Qtr.YTD",#N/A,FALSE,"Net Income";"Earnings_Month.Qtr.YTD",#N/A,FALSE,"Earnings";#N/A,#N/A,FALSE,"Indicators"}</definedName>
    <definedName name="__________DSO1" localSheetId="5" hidden="1">{#N/A,#N/A,FALSE,"Cover";"NI_Mon.Qtr.YTD",#N/A,FALSE,"Net Income";"Earnings_Month.Qtr.YTD",#N/A,FALSE,"Earnings";#N/A,#N/A,FALSE,"Indicators"}</definedName>
    <definedName name="__________DSO1" localSheetId="7" hidden="1">{#N/A,#N/A,FALSE,"Cover";"NI_Mon.Qtr.YTD",#N/A,FALSE,"Net Income";"Earnings_Month.Qtr.YTD",#N/A,FALSE,"Earnings";#N/A,#N/A,FALSE,"Indicators"}</definedName>
    <definedName name="__________DSO1" localSheetId="8" hidden="1">{#N/A,#N/A,FALSE,"Cover";"NI_Mon.Qtr.YTD",#N/A,FALSE,"Net Income";"Earnings_Month.Qtr.YTD",#N/A,FALSE,"Earnings";#N/A,#N/A,FALSE,"Indicators"}</definedName>
    <definedName name="__________DSO1" localSheetId="1" hidden="1">{#N/A,#N/A,FALSE,"Cover";"NI_Mon.Qtr.YTD",#N/A,FALSE,"Net Income";"Earnings_Month.Qtr.YTD",#N/A,FALSE,"Earnings";#N/A,#N/A,FALSE,"Indicators"}</definedName>
    <definedName name="__________DSO1" localSheetId="6" hidden="1">{#N/A,#N/A,FALSE,"Cover";"NI_Mon.Qtr.YTD",#N/A,FALSE,"Net Income";"Earnings_Month.Qtr.YTD",#N/A,FALSE,"Earnings";#N/A,#N/A,FALSE,"Indicators"}</definedName>
    <definedName name="__________DSO1" localSheetId="9" hidden="1">{#N/A,#N/A,FALSE,"Cover";"NI_Mon.Qtr.YTD",#N/A,FALSE,"Net Income";"Earnings_Month.Qtr.YTD",#N/A,FALSE,"Earnings";#N/A,#N/A,FALSE,"Indicators"}</definedName>
    <definedName name="__________DSO1" hidden="1">{#N/A,#N/A,FALSE,"Cover";"NI_Mon.Qtr.YTD",#N/A,FALSE,"Net Income";"Earnings_Month.Qtr.YTD",#N/A,FALSE,"Earnings";#N/A,#N/A,FALSE,"Indicators"}</definedName>
    <definedName name="__________n4" localSheetId="2" hidden="1">{"EXCELHLP.HLP!1802";5;10;5;10;13;13;13;8;5;5;10;14;13;13;13;13;5;10;14;13;5;10;1;2;24}</definedName>
    <definedName name="__________n4" localSheetId="8" hidden="1">{"EXCELHLP.HLP!1802";5;10;5;10;13;13;13;8;5;5;10;14;13;13;13;13;5;10;14;13;5;10;1;2;24}</definedName>
    <definedName name="__________n4" localSheetId="9" hidden="1">{"EXCELHLP.HLP!1802";5;10;5;10;13;13;13;8;5;5;10;14;13;13;13;13;5;10;14;13;5;10;1;2;24}</definedName>
    <definedName name="__________n4" hidden="1">{"EXCELHLP.HLP!1802";5;10;5;10;13;13;13;8;5;5;10;14;13;13;13;13;5;10;14;13;5;10;1;2;24}</definedName>
    <definedName name="_________DSO1" localSheetId="2" hidden="1">{#N/A,#N/A,FALSE,"Cover";"NI_Mon.Qtr.YTD",#N/A,FALSE,"Net Income";"Earnings_Month.Qtr.YTD",#N/A,FALSE,"Earnings";#N/A,#N/A,FALSE,"Indicators"}</definedName>
    <definedName name="_________DSO1" localSheetId="5" hidden="1">{#N/A,#N/A,FALSE,"Cover";"NI_Mon.Qtr.YTD",#N/A,FALSE,"Net Income";"Earnings_Month.Qtr.YTD",#N/A,FALSE,"Earnings";#N/A,#N/A,FALSE,"Indicators"}</definedName>
    <definedName name="_________DSO1" localSheetId="7" hidden="1">{#N/A,#N/A,FALSE,"Cover";"NI_Mon.Qtr.YTD",#N/A,FALSE,"Net Income";"Earnings_Month.Qtr.YTD",#N/A,FALSE,"Earnings";#N/A,#N/A,FALSE,"Indicators"}</definedName>
    <definedName name="_________DSO1" localSheetId="8" hidden="1">{#N/A,#N/A,FALSE,"Cover";"NI_Mon.Qtr.YTD",#N/A,FALSE,"Net Income";"Earnings_Month.Qtr.YTD",#N/A,FALSE,"Earnings";#N/A,#N/A,FALSE,"Indicators"}</definedName>
    <definedName name="_________DSO1" localSheetId="1" hidden="1">{#N/A,#N/A,FALSE,"Cover";"NI_Mon.Qtr.YTD",#N/A,FALSE,"Net Income";"Earnings_Month.Qtr.YTD",#N/A,FALSE,"Earnings";#N/A,#N/A,FALSE,"Indicators"}</definedName>
    <definedName name="_________DSO1" localSheetId="6" hidden="1">{#N/A,#N/A,FALSE,"Cover";"NI_Mon.Qtr.YTD",#N/A,FALSE,"Net Income";"Earnings_Month.Qtr.YTD",#N/A,FALSE,"Earnings";#N/A,#N/A,FALSE,"Indicators"}</definedName>
    <definedName name="_________DSO1" localSheetId="9" hidden="1">{#N/A,#N/A,FALSE,"Cover";"NI_Mon.Qtr.YTD",#N/A,FALSE,"Net Income";"Earnings_Month.Qtr.YTD",#N/A,FALSE,"Earnings";#N/A,#N/A,FALSE,"Indicators"}</definedName>
    <definedName name="_________DSO1" hidden="1">{#N/A,#N/A,FALSE,"Cover";"NI_Mon.Qtr.YTD",#N/A,FALSE,"Net Income";"Earnings_Month.Qtr.YTD",#N/A,FALSE,"Earnings";#N/A,#N/A,FALSE,"Indicators"}</definedName>
    <definedName name="_________n4" localSheetId="2" hidden="1">{"EXCELHLP.HLP!1802";5;10;5;10;13;13;13;8;5;5;10;14;13;13;13;13;5;10;14;13;5;10;1;2;24}</definedName>
    <definedName name="_________n4" localSheetId="8" hidden="1">{"EXCELHLP.HLP!1802";5;10;5;10;13;13;13;8;5;5;10;14;13;13;13;13;5;10;14;13;5;10;1;2;24}</definedName>
    <definedName name="_________n4" localSheetId="9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DSO1" localSheetId="2" hidden="1">{#N/A,#N/A,FALSE,"Cover";"NI_Mon.Qtr.YTD",#N/A,FALSE,"Net Income";"Earnings_Month.Qtr.YTD",#N/A,FALSE,"Earnings";#N/A,#N/A,FALSE,"Indicators"}</definedName>
    <definedName name="________DSO1" localSheetId="5" hidden="1">{#N/A,#N/A,FALSE,"Cover";"NI_Mon.Qtr.YTD",#N/A,FALSE,"Net Income";"Earnings_Month.Qtr.YTD",#N/A,FALSE,"Earnings";#N/A,#N/A,FALSE,"Indicators"}</definedName>
    <definedName name="________DSO1" localSheetId="7" hidden="1">{#N/A,#N/A,FALSE,"Cover";"NI_Mon.Qtr.YTD",#N/A,FALSE,"Net Income";"Earnings_Month.Qtr.YTD",#N/A,FALSE,"Earnings";#N/A,#N/A,FALSE,"Indicators"}</definedName>
    <definedName name="________DSO1" localSheetId="8" hidden="1">{#N/A,#N/A,FALSE,"Cover";"NI_Mon.Qtr.YTD",#N/A,FALSE,"Net Income";"Earnings_Month.Qtr.YTD",#N/A,FALSE,"Earnings";#N/A,#N/A,FALSE,"Indicators"}</definedName>
    <definedName name="________DSO1" localSheetId="1" hidden="1">{#N/A,#N/A,FALSE,"Cover";"NI_Mon.Qtr.YTD",#N/A,FALSE,"Net Income";"Earnings_Month.Qtr.YTD",#N/A,FALSE,"Earnings";#N/A,#N/A,FALSE,"Indicators"}</definedName>
    <definedName name="________DSO1" localSheetId="6" hidden="1">{#N/A,#N/A,FALSE,"Cover";"NI_Mon.Qtr.YTD",#N/A,FALSE,"Net Income";"Earnings_Month.Qtr.YTD",#N/A,FALSE,"Earnings";#N/A,#N/A,FALSE,"Indicators"}</definedName>
    <definedName name="________DSO1" localSheetId="9" hidden="1">{#N/A,#N/A,FALSE,"Cover";"NI_Mon.Qtr.YTD",#N/A,FALSE,"Net Income";"Earnings_Month.Qtr.YTD",#N/A,FALSE,"Earnings";#N/A,#N/A,FALSE,"Indicators"}</definedName>
    <definedName name="________DSO1" hidden="1">{#N/A,#N/A,FALSE,"Cover";"NI_Mon.Qtr.YTD",#N/A,FALSE,"Net Income";"Earnings_Month.Qtr.YTD",#N/A,FALSE,"Earnings";#N/A,#N/A,FALSE,"Indicators"}</definedName>
    <definedName name="________n4" localSheetId="2" hidden="1">{"EXCELHLP.HLP!1802";5;10;5;10;13;13;13;8;5;5;10;14;13;13;13;13;5;10;14;13;5;10;1;2;24}</definedName>
    <definedName name="________n4" localSheetId="8" hidden="1">{"EXCELHLP.HLP!1802";5;10;5;10;13;13;13;8;5;5;10;14;13;13;13;13;5;10;14;13;5;10;1;2;24}</definedName>
    <definedName name="________n4" localSheetId="9" hidden="1">{"EXCELHLP.HLP!1802";5;10;5;10;13;13;13;8;5;5;10;14;13;13;13;13;5;10;14;13;5;10;1;2;24}</definedName>
    <definedName name="________n4" hidden="1">{"EXCELHLP.HLP!1802";5;10;5;10;13;13;13;8;5;5;10;14;13;13;13;13;5;10;14;13;5;10;1;2;24}</definedName>
    <definedName name="_______DSO1" localSheetId="2" hidden="1">{#N/A,#N/A,FALSE,"Cover";"NI_Mon.Qtr.YTD",#N/A,FALSE,"Net Income";"Earnings_Month.Qtr.YTD",#N/A,FALSE,"Earnings";#N/A,#N/A,FALSE,"Indicators"}</definedName>
    <definedName name="_______DSO1" localSheetId="5" hidden="1">{#N/A,#N/A,FALSE,"Cover";"NI_Mon.Qtr.YTD",#N/A,FALSE,"Net Income";"Earnings_Month.Qtr.YTD",#N/A,FALSE,"Earnings";#N/A,#N/A,FALSE,"Indicators"}</definedName>
    <definedName name="_______DSO1" localSheetId="7" hidden="1">{#N/A,#N/A,FALSE,"Cover";"NI_Mon.Qtr.YTD",#N/A,FALSE,"Net Income";"Earnings_Month.Qtr.YTD",#N/A,FALSE,"Earnings";#N/A,#N/A,FALSE,"Indicators"}</definedName>
    <definedName name="_______DSO1" localSheetId="8" hidden="1">{#N/A,#N/A,FALSE,"Cover";"NI_Mon.Qtr.YTD",#N/A,FALSE,"Net Income";"Earnings_Month.Qtr.YTD",#N/A,FALSE,"Earnings";#N/A,#N/A,FALSE,"Indicators"}</definedName>
    <definedName name="_______DSO1" localSheetId="1" hidden="1">{#N/A,#N/A,FALSE,"Cover";"NI_Mon.Qtr.YTD",#N/A,FALSE,"Net Income";"Earnings_Month.Qtr.YTD",#N/A,FALSE,"Earnings";#N/A,#N/A,FALSE,"Indicators"}</definedName>
    <definedName name="_______DSO1" localSheetId="6" hidden="1">{#N/A,#N/A,FALSE,"Cover";"NI_Mon.Qtr.YTD",#N/A,FALSE,"Net Income";"Earnings_Month.Qtr.YTD",#N/A,FALSE,"Earnings";#N/A,#N/A,FALSE,"Indicators"}</definedName>
    <definedName name="_______DSO1" localSheetId="9" hidden="1">{#N/A,#N/A,FALSE,"Cover";"NI_Mon.Qtr.YTD",#N/A,FALSE,"Net Income";"Earnings_Month.Qtr.YTD",#N/A,FALSE,"Earnings";#N/A,#N/A,FALSE,"Indicators"}</definedName>
    <definedName name="_______DSO1" hidden="1">{#N/A,#N/A,FALSE,"Cover";"NI_Mon.Qtr.YTD",#N/A,FALSE,"Net Income";"Earnings_Month.Qtr.YTD",#N/A,FALSE,"Earnings";#N/A,#N/A,FALSE,"Indicators"}</definedName>
    <definedName name="_______n4" localSheetId="2" hidden="1">{"EXCELHLP.HLP!1802";5;10;5;10;13;13;13;8;5;5;10;14;13;13;13;13;5;10;14;13;5;10;1;2;24}</definedName>
    <definedName name="_______n4" localSheetId="8" hidden="1">{"EXCELHLP.HLP!1802";5;10;5;10;13;13;13;8;5;5;10;14;13;13;13;13;5;10;14;13;5;10;1;2;24}</definedName>
    <definedName name="_______n4" localSheetId="9" hidden="1">{"EXCELHLP.HLP!1802";5;10;5;10;13;13;13;8;5;5;10;14;13;13;13;13;5;10;14;13;5;10;1;2;24}</definedName>
    <definedName name="_______n4" hidden="1">{"EXCELHLP.HLP!1802";5;10;5;10;13;13;13;8;5;5;10;14;13;13;13;13;5;10;14;13;5;10;1;2;24}</definedName>
    <definedName name="______DSO1" localSheetId="2" hidden="1">{#N/A,#N/A,FALSE,"Cover";"NI_Mon.Qtr.YTD",#N/A,FALSE,"Net Income";"Earnings_Month.Qtr.YTD",#N/A,FALSE,"Earnings";#N/A,#N/A,FALSE,"Indicators"}</definedName>
    <definedName name="______DSO1" localSheetId="5" hidden="1">{#N/A,#N/A,FALSE,"Cover";"NI_Mon.Qtr.YTD",#N/A,FALSE,"Net Income";"Earnings_Month.Qtr.YTD",#N/A,FALSE,"Earnings";#N/A,#N/A,FALSE,"Indicators"}</definedName>
    <definedName name="______DSO1" localSheetId="7" hidden="1">{#N/A,#N/A,FALSE,"Cover";"NI_Mon.Qtr.YTD",#N/A,FALSE,"Net Income";"Earnings_Month.Qtr.YTD",#N/A,FALSE,"Earnings";#N/A,#N/A,FALSE,"Indicators"}</definedName>
    <definedName name="______DSO1" localSheetId="8" hidden="1">{#N/A,#N/A,FALSE,"Cover";"NI_Mon.Qtr.YTD",#N/A,FALSE,"Net Income";"Earnings_Month.Qtr.YTD",#N/A,FALSE,"Earnings";#N/A,#N/A,FALSE,"Indicators"}</definedName>
    <definedName name="______DSO1" localSheetId="1" hidden="1">{#N/A,#N/A,FALSE,"Cover";"NI_Mon.Qtr.YTD",#N/A,FALSE,"Net Income";"Earnings_Month.Qtr.YTD",#N/A,FALSE,"Earnings";#N/A,#N/A,FALSE,"Indicators"}</definedName>
    <definedName name="______DSO1" localSheetId="6" hidden="1">{#N/A,#N/A,FALSE,"Cover";"NI_Mon.Qtr.YTD",#N/A,FALSE,"Net Income";"Earnings_Month.Qtr.YTD",#N/A,FALSE,"Earnings";#N/A,#N/A,FALSE,"Indicators"}</definedName>
    <definedName name="______DSO1" localSheetId="9" hidden="1">{#N/A,#N/A,FALSE,"Cover";"NI_Mon.Qtr.YTD",#N/A,FALSE,"Net Income";"Earnings_Month.Qtr.YTD",#N/A,FALSE,"Earnings";#N/A,#N/A,FALSE,"Indicators"}</definedName>
    <definedName name="______DSO1" hidden="1">{#N/A,#N/A,FALSE,"Cover";"NI_Mon.Qtr.YTD",#N/A,FALSE,"Net Income";"Earnings_Month.Qtr.YTD",#N/A,FALSE,"Earnings";#N/A,#N/A,FALSE,"Indicators"}</definedName>
    <definedName name="______n4" localSheetId="2" hidden="1">{"EXCELHLP.HLP!1802";5;10;5;10;13;13;13;8;5;5;10;14;13;13;13;13;5;10;14;13;5;10;1;2;24}</definedName>
    <definedName name="______n4" localSheetId="8" hidden="1">{"EXCELHLP.HLP!1802";5;10;5;10;13;13;13;8;5;5;10;14;13;13;13;13;5;10;14;13;5;10;1;2;24}</definedName>
    <definedName name="______n4" localSheetId="9" hidden="1">{"EXCELHLP.HLP!1802";5;10;5;10;13;13;13;8;5;5;10;14;13;13;13;13;5;10;14;13;5;10;1;2;24}</definedName>
    <definedName name="______n4" hidden="1">{"EXCELHLP.HLP!1802";5;10;5;10;13;13;13;8;5;5;10;14;13;13;13;13;5;10;14;13;5;10;1;2;24}</definedName>
    <definedName name="_____DSO1" localSheetId="2" hidden="1">{#N/A,#N/A,FALSE,"Cover";"NI_Mon.Qtr.YTD",#N/A,FALSE,"Net Income";"Earnings_Month.Qtr.YTD",#N/A,FALSE,"Earnings";#N/A,#N/A,FALSE,"Indicators"}</definedName>
    <definedName name="_____DSO1" localSheetId="5" hidden="1">{#N/A,#N/A,FALSE,"Cover";"NI_Mon.Qtr.YTD",#N/A,FALSE,"Net Income";"Earnings_Month.Qtr.YTD",#N/A,FALSE,"Earnings";#N/A,#N/A,FALSE,"Indicators"}</definedName>
    <definedName name="_____DSO1" localSheetId="7" hidden="1">{#N/A,#N/A,FALSE,"Cover";"NI_Mon.Qtr.YTD",#N/A,FALSE,"Net Income";"Earnings_Month.Qtr.YTD",#N/A,FALSE,"Earnings";#N/A,#N/A,FALSE,"Indicators"}</definedName>
    <definedName name="_____DSO1" localSheetId="8" hidden="1">{#N/A,#N/A,FALSE,"Cover";"NI_Mon.Qtr.YTD",#N/A,FALSE,"Net Income";"Earnings_Month.Qtr.YTD",#N/A,FALSE,"Earnings";#N/A,#N/A,FALSE,"Indicators"}</definedName>
    <definedName name="_____DSO1" localSheetId="1" hidden="1">{#N/A,#N/A,FALSE,"Cover";"NI_Mon.Qtr.YTD",#N/A,FALSE,"Net Income";"Earnings_Month.Qtr.YTD",#N/A,FALSE,"Earnings";#N/A,#N/A,FALSE,"Indicators"}</definedName>
    <definedName name="_____DSO1" localSheetId="6" hidden="1">{#N/A,#N/A,FALSE,"Cover";"NI_Mon.Qtr.YTD",#N/A,FALSE,"Net Income";"Earnings_Month.Qtr.YTD",#N/A,FALSE,"Earnings";#N/A,#N/A,FALSE,"Indicators"}</definedName>
    <definedName name="_____DSO1" localSheetId="9" hidden="1">{#N/A,#N/A,FALSE,"Cover";"NI_Mon.Qtr.YTD",#N/A,FALSE,"Net Income";"Earnings_Month.Qtr.YTD",#N/A,FALSE,"Earnings";#N/A,#N/A,FALSE,"Indicators"}</definedName>
    <definedName name="_____DSO1" hidden="1">{#N/A,#N/A,FALSE,"Cover";"NI_Mon.Qtr.YTD",#N/A,FALSE,"Net Income";"Earnings_Month.Qtr.YTD",#N/A,FALSE,"Earnings";#N/A,#N/A,FALSE,"Indicators"}</definedName>
    <definedName name="_____n4" localSheetId="2" hidden="1">{"EXCELHLP.HLP!1802";5;10;5;10;13;13;13;8;5;5;10;14;13;13;13;13;5;10;14;13;5;10;1;2;24}</definedName>
    <definedName name="_____n4" localSheetId="8" hidden="1">{"EXCELHLP.HLP!1802";5;10;5;10;13;13;13;8;5;5;10;14;13;13;13;13;5;10;14;13;5;10;1;2;24}</definedName>
    <definedName name="_____n4" localSheetId="9" hidden="1">{"EXCELHLP.HLP!1802";5;10;5;10;13;13;13;8;5;5;10;14;13;13;13;13;5;10;14;13;5;10;1;2;24}</definedName>
    <definedName name="_____n4" hidden="1">{"EXCELHLP.HLP!1802";5;10;5;10;13;13;13;8;5;5;10;14;13;13;13;13;5;10;14;13;5;10;1;2;24}</definedName>
    <definedName name="____DSO1" localSheetId="2" hidden="1">{#N/A,#N/A,FALSE,"Cover";"NI_Mon.Qtr.YTD",#N/A,FALSE,"Net Income";"Earnings_Month.Qtr.YTD",#N/A,FALSE,"Earnings";#N/A,#N/A,FALSE,"Indicators"}</definedName>
    <definedName name="____DSO1" localSheetId="5" hidden="1">{#N/A,#N/A,FALSE,"Cover";"NI_Mon.Qtr.YTD",#N/A,FALSE,"Net Income";"Earnings_Month.Qtr.YTD",#N/A,FALSE,"Earnings";#N/A,#N/A,FALSE,"Indicators"}</definedName>
    <definedName name="____DSO1" localSheetId="7" hidden="1">{#N/A,#N/A,FALSE,"Cover";"NI_Mon.Qtr.YTD",#N/A,FALSE,"Net Income";"Earnings_Month.Qtr.YTD",#N/A,FALSE,"Earnings";#N/A,#N/A,FALSE,"Indicators"}</definedName>
    <definedName name="____DSO1" localSheetId="8" hidden="1">{#N/A,#N/A,FALSE,"Cover";"NI_Mon.Qtr.YTD",#N/A,FALSE,"Net Income";"Earnings_Month.Qtr.YTD",#N/A,FALSE,"Earnings";#N/A,#N/A,FALSE,"Indicators"}</definedName>
    <definedName name="____DSO1" localSheetId="1" hidden="1">{#N/A,#N/A,FALSE,"Cover";"NI_Mon.Qtr.YTD",#N/A,FALSE,"Net Income";"Earnings_Month.Qtr.YTD",#N/A,FALSE,"Earnings";#N/A,#N/A,FALSE,"Indicators"}</definedName>
    <definedName name="____DSO1" localSheetId="6" hidden="1">{#N/A,#N/A,FALSE,"Cover";"NI_Mon.Qtr.YTD",#N/A,FALSE,"Net Income";"Earnings_Month.Qtr.YTD",#N/A,FALSE,"Earnings";#N/A,#N/A,FALSE,"Indicators"}</definedName>
    <definedName name="____DSO1" localSheetId="9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_n4" localSheetId="2" hidden="1">{"EXCELHLP.HLP!1802";5;10;5;10;13;13;13;8;5;5;10;14;13;13;13;13;5;10;14;13;5;10;1;2;24}</definedName>
    <definedName name="____n4" localSheetId="8" hidden="1">{"EXCELHLP.HLP!1802";5;10;5;10;13;13;13;8;5;5;10;14;13;13;13;13;5;10;14;13;5;10;1;2;24}</definedName>
    <definedName name="____n4" localSheetId="9" hidden="1">{"EXCELHLP.HLP!1802";5;10;5;10;13;13;13;8;5;5;10;14;13;13;13;13;5;10;14;13;5;10;1;2;24}</definedName>
    <definedName name="____n4" hidden="1">{"EXCELHLP.HLP!1802";5;10;5;10;13;13;13;8;5;5;10;14;13;13;13;13;5;10;14;13;5;10;1;2;24}</definedName>
    <definedName name="___DSO1" localSheetId="2" hidden="1">{#N/A,#N/A,FALSE,"Cover";"NI_Mon.Qtr.YTD",#N/A,FALSE,"Net Income";"Earnings_Month.Qtr.YTD",#N/A,FALSE,"Earnings";#N/A,#N/A,FALSE,"Indicators"}</definedName>
    <definedName name="___DSO1" localSheetId="5" hidden="1">{#N/A,#N/A,FALSE,"Cover";"NI_Mon.Qtr.YTD",#N/A,FALSE,"Net Income";"Earnings_Month.Qtr.YTD",#N/A,FALSE,"Earnings";#N/A,#N/A,FALSE,"Indicators"}</definedName>
    <definedName name="___DSO1" localSheetId="7" hidden="1">{#N/A,#N/A,FALSE,"Cover";"NI_Mon.Qtr.YTD",#N/A,FALSE,"Net Income";"Earnings_Month.Qtr.YTD",#N/A,FALSE,"Earnings";#N/A,#N/A,FALSE,"Indicators"}</definedName>
    <definedName name="___DSO1" localSheetId="8" hidden="1">{#N/A,#N/A,FALSE,"Cover";"NI_Mon.Qtr.YTD",#N/A,FALSE,"Net Income";"Earnings_Month.Qtr.YTD",#N/A,FALSE,"Earnings";#N/A,#N/A,FALSE,"Indicators"}</definedName>
    <definedName name="___DSO1" localSheetId="1" hidden="1">{#N/A,#N/A,FALSE,"Cover";"NI_Mon.Qtr.YTD",#N/A,FALSE,"Net Income";"Earnings_Month.Qtr.YTD",#N/A,FALSE,"Earnings";#N/A,#N/A,FALSE,"Indicators"}</definedName>
    <definedName name="___DSO1" localSheetId="6" hidden="1">{#N/A,#N/A,FALSE,"Cover";"NI_Mon.Qtr.YTD",#N/A,FALSE,"Net Income";"Earnings_Month.Qtr.YTD",#N/A,FALSE,"Earnings";#N/A,#N/A,FALSE,"Indicators"}</definedName>
    <definedName name="___DSO1" localSheetId="9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_n4" localSheetId="2" hidden="1">{"EXCELHLP.HLP!1802";5;10;5;10;13;13;13;8;5;5;10;14;13;13;13;13;5;10;14;13;5;10;1;2;24}</definedName>
    <definedName name="___n4" localSheetId="8" hidden="1">{"EXCELHLP.HLP!1802";5;10;5;10;13;13;13;8;5;5;10;14;13;13;13;13;5;10;14;13;5;10;1;2;24}</definedName>
    <definedName name="___n4" localSheetId="9" hidden="1">{"EXCELHLP.HLP!1802";5;10;5;10;13;13;13;8;5;5;10;14;13;13;13;13;5;10;14;13;5;10;1;2;24}</definedName>
    <definedName name="___n4" hidden="1">{"EXCELHLP.HLP!1802";5;10;5;10;13;13;13;8;5;5;10;14;13;13;13;13;5;10;14;13;5;10;1;2;24}</definedName>
    <definedName name="__123Graph_AWOC9291T" localSheetId="2" hidden="1">#REF!</definedName>
    <definedName name="__123Graph_AWOC9291T" localSheetId="5" hidden="1">#REF!</definedName>
    <definedName name="__123Graph_AWOC9291T" localSheetId="7" hidden="1">#REF!</definedName>
    <definedName name="__123Graph_AWOC9291T" localSheetId="8" hidden="1">#REF!</definedName>
    <definedName name="__123Graph_AWOC9291T" localSheetId="1" hidden="1">#REF!</definedName>
    <definedName name="__123Graph_AWOC9291T" localSheetId="4" hidden="1">#REF!</definedName>
    <definedName name="__123Graph_AWOC9291T" localSheetId="6" hidden="1">#REF!</definedName>
    <definedName name="__123Graph_AWOC9291T" localSheetId="9" hidden="1">#REF!</definedName>
    <definedName name="__123Graph_AWOC9291T" hidden="1">#REF!</definedName>
    <definedName name="__123Graph_BWOC9291T" localSheetId="2" hidden="1">#REF!</definedName>
    <definedName name="__123Graph_BWOC9291T" localSheetId="5" hidden="1">#REF!</definedName>
    <definedName name="__123Graph_BWOC9291T" localSheetId="7" hidden="1">#REF!</definedName>
    <definedName name="__123Graph_BWOC9291T" localSheetId="8" hidden="1">#REF!</definedName>
    <definedName name="__123Graph_BWOC9291T" localSheetId="1" hidden="1">#REF!</definedName>
    <definedName name="__123Graph_BWOC9291T" localSheetId="4" hidden="1">#REF!</definedName>
    <definedName name="__123Graph_BWOC9291T" localSheetId="6" hidden="1">#REF!</definedName>
    <definedName name="__123Graph_BWOC9291T" localSheetId="9" hidden="1">#REF!</definedName>
    <definedName name="__123Graph_BWOC9291T" hidden="1">#REF!</definedName>
    <definedName name="__123Graph_CWOC9291T" localSheetId="2" hidden="1">#REF!</definedName>
    <definedName name="__123Graph_CWOC9291T" localSheetId="5" hidden="1">#REF!</definedName>
    <definedName name="__123Graph_CWOC9291T" localSheetId="7" hidden="1">#REF!</definedName>
    <definedName name="__123Graph_CWOC9291T" localSheetId="8" hidden="1">#REF!</definedName>
    <definedName name="__123Graph_CWOC9291T" localSheetId="1" hidden="1">#REF!</definedName>
    <definedName name="__123Graph_CWOC9291T" localSheetId="4" hidden="1">#REF!</definedName>
    <definedName name="__123Graph_CWOC9291T" localSheetId="6" hidden="1">#REF!</definedName>
    <definedName name="__123Graph_CWOC9291T" localSheetId="9" hidden="1">#REF!</definedName>
    <definedName name="__123Graph_CWOC9291T" hidden="1">#REF!</definedName>
    <definedName name="__aa11" localSheetId="2">#REF!</definedName>
    <definedName name="__aa11" localSheetId="5">#REF!</definedName>
    <definedName name="__aa11" localSheetId="8">#REF!</definedName>
    <definedName name="__aa11" localSheetId="1">#REF!</definedName>
    <definedName name="__aa11" localSheetId="4">#REF!</definedName>
    <definedName name="__aa11" localSheetId="9">#REF!</definedName>
    <definedName name="__aa11">#REF!</definedName>
    <definedName name="__DSO1" localSheetId="2" hidden="1">{#N/A,#N/A,FALSE,"Cover";"NI_Mon.Qtr.YTD",#N/A,FALSE,"Net Income";"Earnings_Month.Qtr.YTD",#N/A,FALSE,"Earnings";#N/A,#N/A,FALSE,"Indicators"}</definedName>
    <definedName name="__DSO1" localSheetId="5" hidden="1">{#N/A,#N/A,FALSE,"Cover";"NI_Mon.Qtr.YTD",#N/A,FALSE,"Net Income";"Earnings_Month.Qtr.YTD",#N/A,FALSE,"Earnings";#N/A,#N/A,FALSE,"Indicators"}</definedName>
    <definedName name="__DSO1" localSheetId="7" hidden="1">{#N/A,#N/A,FALSE,"Cover";"NI_Mon.Qtr.YTD",#N/A,FALSE,"Net Income";"Earnings_Month.Qtr.YTD",#N/A,FALSE,"Earnings";#N/A,#N/A,FALSE,"Indicators"}</definedName>
    <definedName name="__DSO1" localSheetId="8" hidden="1">{#N/A,#N/A,FALSE,"Cover";"NI_Mon.Qtr.YTD",#N/A,FALSE,"Net Income";"Earnings_Month.Qtr.YTD",#N/A,FALSE,"Earnings";#N/A,#N/A,FALSE,"Indicators"}</definedName>
    <definedName name="__DSO1" localSheetId="1" hidden="1">{#N/A,#N/A,FALSE,"Cover";"NI_Mon.Qtr.YTD",#N/A,FALSE,"Net Income";"Earnings_Month.Qtr.YTD",#N/A,FALSE,"Earnings";#N/A,#N/A,FALSE,"Indicators"}</definedName>
    <definedName name="__DSO1" localSheetId="4" hidden="1">{#N/A,#N/A,FALSE,"Cover";"NI_Mon.Qtr.YTD",#N/A,FALSE,"Net Income";"Earnings_Month.Qtr.YTD",#N/A,FALSE,"Earnings";#N/A,#N/A,FALSE,"Indicators"}</definedName>
    <definedName name="__DSO1" localSheetId="6" hidden="1">{#N/A,#N/A,FALSE,"Cover";"NI_Mon.Qtr.YTD",#N/A,FALSE,"Net Income";"Earnings_Month.Qtr.YTD",#N/A,FALSE,"Earnings";#N/A,#N/A,FALSE,"Indicators"}</definedName>
    <definedName name="__DSO1" localSheetId="9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2" hidden="1">{#N/A,#N/A,FALSE,"Cover";"NI_Mon.Qtr.YTD",#N/A,FALSE,"Net Income";"Earnings_Month.Qtr.YTD",#N/A,FALSE,"Earnings";#N/A,#N/A,FALSE,"Indicators"}</definedName>
    <definedName name="__DSO2" localSheetId="5" hidden="1">{#N/A,#N/A,FALSE,"Cover";"NI_Mon.Qtr.YTD",#N/A,FALSE,"Net Income";"Earnings_Month.Qtr.YTD",#N/A,FALSE,"Earnings";#N/A,#N/A,FALSE,"Indicators"}</definedName>
    <definedName name="__DSO2" localSheetId="7" hidden="1">{#N/A,#N/A,FALSE,"Cover";"NI_Mon.Qtr.YTD",#N/A,FALSE,"Net Income";"Earnings_Month.Qtr.YTD",#N/A,FALSE,"Earnings";#N/A,#N/A,FALSE,"Indicators"}</definedName>
    <definedName name="__DSO2" localSheetId="8" hidden="1">{#N/A,#N/A,FALSE,"Cover";"NI_Mon.Qtr.YTD",#N/A,FALSE,"Net Income";"Earnings_Month.Qtr.YTD",#N/A,FALSE,"Earnings";#N/A,#N/A,FALSE,"Indicators"}</definedName>
    <definedName name="__DSO2" localSheetId="1" hidden="1">{#N/A,#N/A,FALSE,"Cover";"NI_Mon.Qtr.YTD",#N/A,FALSE,"Net Income";"Earnings_Month.Qtr.YTD",#N/A,FALSE,"Earnings";#N/A,#N/A,FALSE,"Indicators"}</definedName>
    <definedName name="__DSO2" localSheetId="4" hidden="1">{#N/A,#N/A,FALSE,"Cover";"NI_Mon.Qtr.YTD",#N/A,FALSE,"Net Income";"Earnings_Month.Qtr.YTD",#N/A,FALSE,"Earnings";#N/A,#N/A,FALSE,"Indicators"}</definedName>
    <definedName name="__DSO2" localSheetId="6" hidden="1">{#N/A,#N/A,FALSE,"Cover";"NI_Mon.Qtr.YTD",#N/A,FALSE,"Net Income";"Earnings_Month.Qtr.YTD",#N/A,FALSE,"Earnings";#N/A,#N/A,FALSE,"Indicators"}</definedName>
    <definedName name="__DSO2" localSheetId="9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localSheetId="2" hidden="1">{#N/A,#N/A,FALSE,"Cover";"NI_Mon.Qtr.YTD",#N/A,FALSE,"Net Income";"Earnings_Month.Qtr.YTD",#N/A,FALSE,"Earnings";#N/A,#N/A,FALSE,"Indicators"}</definedName>
    <definedName name="__DSO3" localSheetId="5" hidden="1">{#N/A,#N/A,FALSE,"Cover";"NI_Mon.Qtr.YTD",#N/A,FALSE,"Net Income";"Earnings_Month.Qtr.YTD",#N/A,FALSE,"Earnings";#N/A,#N/A,FALSE,"Indicators"}</definedName>
    <definedName name="__DSO3" localSheetId="7" hidden="1">{#N/A,#N/A,FALSE,"Cover";"NI_Mon.Qtr.YTD",#N/A,FALSE,"Net Income";"Earnings_Month.Qtr.YTD",#N/A,FALSE,"Earnings";#N/A,#N/A,FALSE,"Indicators"}</definedName>
    <definedName name="__DSO3" localSheetId="8" hidden="1">{#N/A,#N/A,FALSE,"Cover";"NI_Mon.Qtr.YTD",#N/A,FALSE,"Net Income";"Earnings_Month.Qtr.YTD",#N/A,FALSE,"Earnings";#N/A,#N/A,FALSE,"Indicators"}</definedName>
    <definedName name="__DSO3" localSheetId="1" hidden="1">{#N/A,#N/A,FALSE,"Cover";"NI_Mon.Qtr.YTD",#N/A,FALSE,"Net Income";"Earnings_Month.Qtr.YTD",#N/A,FALSE,"Earnings";#N/A,#N/A,FALSE,"Indicators"}</definedName>
    <definedName name="__DSO3" localSheetId="4" hidden="1">{#N/A,#N/A,FALSE,"Cover";"NI_Mon.Qtr.YTD",#N/A,FALSE,"Net Income";"Earnings_Month.Qtr.YTD",#N/A,FALSE,"Earnings";#N/A,#N/A,FALSE,"Indicators"}</definedName>
    <definedName name="__DSO3" localSheetId="6" hidden="1">{#N/A,#N/A,FALSE,"Cover";"NI_Mon.Qtr.YTD",#N/A,FALSE,"Net Income";"Earnings_Month.Qtr.YTD",#N/A,FALSE,"Earnings";#N/A,#N/A,FALSE,"Indicators"}</definedName>
    <definedName name="__DSO3" localSheetId="9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FDS_HYPERLINK_TOGGLE_STATE__" hidden="1">"ON"</definedName>
    <definedName name="__IntlFixup" hidden="1">TRUE</definedName>
    <definedName name="__n4" localSheetId="2" hidden="1">{"EXCELHLP.HLP!1802";5;10;5;10;13;13;13;8;5;5;10;14;13;13;13;13;5;10;14;13;5;10;1;2;24}</definedName>
    <definedName name="__n4" localSheetId="8" hidden="1">{"EXCELHLP.HLP!1802";5;10;5;10;13;13;13;8;5;5;10;14;13;13;13;13;5;10;14;13;5;10;1;2;24}</definedName>
    <definedName name="__n4" localSheetId="9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1_0_0RTSLA" localSheetId="9">#REF!</definedName>
    <definedName name="_1_0_0RTSLA">#REF!</definedName>
    <definedName name="_10C_38B" localSheetId="9">#REF!</definedName>
    <definedName name="_10C_38B">#REF!</definedName>
    <definedName name="_11C_56" localSheetId="9">#REF!</definedName>
    <definedName name="_11C_56">#REF!</definedName>
    <definedName name="_12C_58" localSheetId="9">#REF!</definedName>
    <definedName name="_12C_58">#REF!</definedName>
    <definedName name="_12MOS" localSheetId="9">#REF!</definedName>
    <definedName name="_12MOS">#REF!</definedName>
    <definedName name="_12MOSA" localSheetId="9">#REF!</definedName>
    <definedName name="_12MOSA">#REF!</definedName>
    <definedName name="_13C_9" localSheetId="9">#REF!</definedName>
    <definedName name="_13C_9">#REF!</definedName>
    <definedName name="_14D_1" localSheetId="9">#REF!</definedName>
    <definedName name="_14D_1">#REF!</definedName>
    <definedName name="_15PG_1" localSheetId="9">#REF!</definedName>
    <definedName name="_15PG_1">#REF!</definedName>
    <definedName name="_16RTSLA" localSheetId="9">#REF!</definedName>
    <definedName name="_16RTSLA">#REF!</definedName>
    <definedName name="_1990" localSheetId="9">#REF!</definedName>
    <definedName name="_1990">#REF!</definedName>
    <definedName name="_1990C" localSheetId="9">#REF!</definedName>
    <definedName name="_1990C">#REF!</definedName>
    <definedName name="_1991" localSheetId="9">#REF!</definedName>
    <definedName name="_1991">#REF!</definedName>
    <definedName name="_1991C" localSheetId="9">#REF!</definedName>
    <definedName name="_1991C">#REF!</definedName>
    <definedName name="_2B_6" localSheetId="9">#REF!</definedName>
    <definedName name="_2B_6">#REF!</definedName>
    <definedName name="_3B_7_1OF3" localSheetId="9">#REF!</definedName>
    <definedName name="_3B_7_1OF3">#REF!</definedName>
    <definedName name="_4B_7_2OF3" localSheetId="9">#REF!</definedName>
    <definedName name="_4B_7_2OF3">#REF!</definedName>
    <definedName name="_5B_7_3OF3">#REF!</definedName>
    <definedName name="_6B_9A">#REF!</definedName>
    <definedName name="_7B_9B">#REF!</definedName>
    <definedName name="_8C_12" localSheetId="9">#REF!</definedName>
    <definedName name="_8C_12">#REF!</definedName>
    <definedName name="_9C_2" localSheetId="9">#REF!</definedName>
    <definedName name="_9C_2">#REF!</definedName>
    <definedName name="_aa1" localSheetId="5">#REF!</definedName>
    <definedName name="_aa1" localSheetId="4">#REF!</definedName>
    <definedName name="_aa1" localSheetId="9">#REF!</definedName>
    <definedName name="_aa1">#REF!</definedName>
    <definedName name="_aa10" localSheetId="5">#REF!</definedName>
    <definedName name="_aa10" localSheetId="4">#REF!</definedName>
    <definedName name="_aa10" localSheetId="9">#REF!</definedName>
    <definedName name="_aa10">#REF!</definedName>
    <definedName name="_aa11" localSheetId="5">#REF!</definedName>
    <definedName name="_aa11" localSheetId="4">#REF!</definedName>
    <definedName name="_aa11" localSheetId="9">#REF!</definedName>
    <definedName name="_aa11">#REF!</definedName>
    <definedName name="_aa12" localSheetId="5">#REF!</definedName>
    <definedName name="_aa12" localSheetId="4">#REF!</definedName>
    <definedName name="_aa12" localSheetId="9">#REF!</definedName>
    <definedName name="_aa12">#REF!</definedName>
    <definedName name="_aa2" localSheetId="5">#REF!</definedName>
    <definedName name="_aa2" localSheetId="4">#REF!</definedName>
    <definedName name="_aa2" localSheetId="9">#REF!</definedName>
    <definedName name="_aa2">#REF!</definedName>
    <definedName name="_aa3" localSheetId="5">#REF!</definedName>
    <definedName name="_aa3" localSheetId="4">#REF!</definedName>
    <definedName name="_aa3" localSheetId="9">#REF!</definedName>
    <definedName name="_aa3">#REF!</definedName>
    <definedName name="_aa4" localSheetId="5">#REF!</definedName>
    <definedName name="_aa4" localSheetId="4">#REF!</definedName>
    <definedName name="_aa4" localSheetId="9">#REF!</definedName>
    <definedName name="_aa4">#REF!</definedName>
    <definedName name="_aa5" localSheetId="5">#REF!</definedName>
    <definedName name="_aa5" localSheetId="4">#REF!</definedName>
    <definedName name="_aa5" localSheetId="9">#REF!</definedName>
    <definedName name="_aa5">#REF!</definedName>
    <definedName name="_aa6" localSheetId="5">#REF!</definedName>
    <definedName name="_aa6" localSheetId="4">#REF!</definedName>
    <definedName name="_aa6" localSheetId="9">#REF!</definedName>
    <definedName name="_aa6">#REF!</definedName>
    <definedName name="_aa8" localSheetId="5">#REF!</definedName>
    <definedName name="_aa8" localSheetId="4">#REF!</definedName>
    <definedName name="_aa8" localSheetId="9">#REF!</definedName>
    <definedName name="_aa8">#REF!</definedName>
    <definedName name="_aa9" localSheetId="5">#REF!</definedName>
    <definedName name="_aa9" localSheetId="4">#REF!</definedName>
    <definedName name="_aa9" localSheetId="9">#REF!</definedName>
    <definedName name="_aa9">#REF!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localSheetId="5" hidden="1">{2;#N/A;"R13C16:R17C16";#N/A;"R13C14:R17C15";FALSE;FALSE;FALSE;95;#N/A;#N/A;"R13C19";#N/A;FALSE;FALSE;FALSE;FALSE;#N/A;"";#N/A;FALSE;"";"";#N/A;#N/A;#N/A}</definedName>
    <definedName name="_ATPRegress_Dlg_Results" localSheetId="7" hidden="1">{2;#N/A;"R13C16:R17C16";#N/A;"R13C14:R17C15";FALSE;FALSE;FALSE;95;#N/A;#N/A;"R13C19";#N/A;FALSE;FALSE;FALSE;FALSE;#N/A;"";#N/A;FALSE;"";"";#N/A;#N/A;#N/A}</definedName>
    <definedName name="_ATPRegress_Dlg_Results" localSheetId="8" hidden="1">{2;#N/A;"R13C16:R17C16";#N/A;"R13C14:R17C15";FALSE;FALSE;FALSE;95;#N/A;#N/A;"R13C19";#N/A;FALSE;FALSE;FALSE;FALSE;#N/A;"";#N/A;FALSE;"";"";#N/A;#N/A;#N/A}</definedName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localSheetId="6" hidden="1">{2;#N/A;"R13C16:R17C16";#N/A;"R13C14:R17C15";FALSE;FALSE;FALSE;95;#N/A;#N/A;"R13C19";#N/A;FALSE;FALSE;FALSE;FALSE;#N/A;"";#N/A;FALSE;"";"";#N/A;#N/A;#N/A}</definedName>
    <definedName name="_ATPRegress_Dlg_Results" localSheetId="9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localSheetId="2" hidden="1">{2;#N/A;"R13C16:R17C16";#N/A;"R13C14:R17C15";FALSE;FALSE;FALSE;95;#N/A;#N/A;"R13C19";#N/A;FALSE;FALSE;FALSE;FALSE;#N/A;"";#N/A;FALSE;"";"";#N/A;#N/A;#N/A}</definedName>
    <definedName name="_ATPRegress_Dlg_Results_1" localSheetId="8" hidden="1">{2;#N/A;"R13C16:R17C16";#N/A;"R13C14:R17C15";FALSE;FALSE;FALSE;95;#N/A;#N/A;"R13C19";#N/A;FALSE;FALSE;FALSE;FALSE;#N/A;"";#N/A;FALSE;"";"";#N/A;#N/A;#N/A}</definedName>
    <definedName name="_ATPRegress_Dlg_Results_1" localSheetId="9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localSheetId="2" hidden="1">{"EXCELHLP.HLP!1802";5;10;5;10;13;13;13;8;5;5;10;14;13;13;13;13;5;10;14;13;5;10;1;2;24}</definedName>
    <definedName name="_ATPRegress_Dlg_Types" localSheetId="5" hidden="1">{"EXCELHLP.HLP!1802";5;10;5;10;13;13;13;8;5;5;10;14;13;13;13;13;5;10;14;13;5;10;1;2;24}</definedName>
    <definedName name="_ATPRegress_Dlg_Types" localSheetId="7" hidden="1">{"EXCELHLP.HLP!1802";5;10;5;10;13;13;13;8;5;5;10;14;13;13;13;13;5;10;14;13;5;10;1;2;24}</definedName>
    <definedName name="_ATPRegress_Dlg_Types" localSheetId="8" hidden="1">{"EXCELHLP.HLP!1802";5;10;5;10;13;13;13;8;5;5;10;14;13;13;13;13;5;10;14;13;5;10;1;2;24}</definedName>
    <definedName name="_ATPRegress_Dlg_Types" localSheetId="1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localSheetId="6" hidden="1">{"EXCELHLP.HLP!1802";5;10;5;10;13;13;13;8;5;5;10;14;13;13;13;13;5;10;14;13;5;10;1;2;24}</definedName>
    <definedName name="_ATPRegress_Dlg_Types" localSheetId="9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Dlg_Types_1" localSheetId="2" hidden="1">{"EXCELHLP.HLP!1802";5;10;5;10;13;13;13;8;5;5;10;14;13;13;13;13;5;10;14;13;5;10;1;2;24}</definedName>
    <definedName name="_ATPRegress_Dlg_Types_1" localSheetId="8" hidden="1">{"EXCELHLP.HLP!1802";5;10;5;10;13;13;13;8;5;5;10;14;13;13;13;13;5;10;14;13;5;10;1;2;24}</definedName>
    <definedName name="_ATPRegress_Dlg_Types_1" localSheetId="9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localSheetId="2" hidden="1">#REF!</definedName>
    <definedName name="_ATPRegress_Range1" localSheetId="5" hidden="1">#REF!</definedName>
    <definedName name="_ATPRegress_Range1" localSheetId="7" hidden="1">#REF!</definedName>
    <definedName name="_ATPRegress_Range1" localSheetId="8" hidden="1">#REF!</definedName>
    <definedName name="_ATPRegress_Range1" localSheetId="1" hidden="1">#REF!</definedName>
    <definedName name="_ATPRegress_Range1" localSheetId="4" hidden="1">#REF!</definedName>
    <definedName name="_ATPRegress_Range1" localSheetId="6" hidden="1">#REF!</definedName>
    <definedName name="_ATPRegress_Range1" localSheetId="9" hidden="1">#REF!</definedName>
    <definedName name="_ATPRegress_Range1" hidden="1">#REF!</definedName>
    <definedName name="_ATPRegress_Range2" localSheetId="2" hidden="1">#REF!</definedName>
    <definedName name="_ATPRegress_Range2" localSheetId="5" hidden="1">#REF!</definedName>
    <definedName name="_ATPRegress_Range2" localSheetId="7" hidden="1">#REF!</definedName>
    <definedName name="_ATPRegress_Range2" localSheetId="8" hidden="1">#REF!</definedName>
    <definedName name="_ATPRegress_Range2" localSheetId="1" hidden="1">#REF!</definedName>
    <definedName name="_ATPRegress_Range2" localSheetId="4" hidden="1">#REF!</definedName>
    <definedName name="_ATPRegress_Range2" localSheetId="6" hidden="1">#REF!</definedName>
    <definedName name="_ATPRegress_Range2" localSheetId="9" hidden="1">#REF!</definedName>
    <definedName name="_ATPRegress_Range2" hidden="1">#REF!</definedName>
    <definedName name="_ATPRegress_Range3" localSheetId="2" hidden="1">#REF!</definedName>
    <definedName name="_ATPRegress_Range3" localSheetId="5" hidden="1">#REF!</definedName>
    <definedName name="_ATPRegress_Range3" localSheetId="7" hidden="1">#REF!</definedName>
    <definedName name="_ATPRegress_Range3" localSheetId="8" hidden="1">#REF!</definedName>
    <definedName name="_ATPRegress_Range3" localSheetId="1" hidden="1">#REF!</definedName>
    <definedName name="_ATPRegress_Range3" localSheetId="4" hidden="1">#REF!</definedName>
    <definedName name="_ATPRegress_Range3" localSheetId="6" hidden="1">#REF!</definedName>
    <definedName name="_ATPRegress_Range3" localSheetId="9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ist_Values" hidden="1">#REF!</definedName>
    <definedName name="_DOC1">#REF!</definedName>
    <definedName name="_DOC2">#REF!</definedName>
    <definedName name="_DSO1" localSheetId="2" hidden="1">{#N/A,#N/A,FALSE,"Cover";"NI_Mon.Qtr.YTD",#N/A,FALSE,"Net Income";"Earnings_Month.Qtr.YTD",#N/A,FALSE,"Earnings";#N/A,#N/A,FALSE,"Indicators"}</definedName>
    <definedName name="_DSO1" localSheetId="5" hidden="1">{#N/A,#N/A,FALSE,"Cover";"NI_Mon.Qtr.YTD",#N/A,FALSE,"Net Income";"Earnings_Month.Qtr.YTD",#N/A,FALSE,"Earnings";#N/A,#N/A,FALSE,"Indicators"}</definedName>
    <definedName name="_DSO1" localSheetId="7" hidden="1">{#N/A,#N/A,FALSE,"Cover";"NI_Mon.Qtr.YTD",#N/A,FALSE,"Net Income";"Earnings_Month.Qtr.YTD",#N/A,FALSE,"Earnings";#N/A,#N/A,FALSE,"Indicators"}</definedName>
    <definedName name="_DSO1" localSheetId="8" hidden="1">{#N/A,#N/A,FALSE,"Cover";"NI_Mon.Qtr.YTD",#N/A,FALSE,"Net Income";"Earnings_Month.Qtr.YTD",#N/A,FALSE,"Earnings";#N/A,#N/A,FALSE,"Indicators"}</definedName>
    <definedName name="_DSO1" localSheetId="1" hidden="1">{#N/A,#N/A,FALSE,"Cover";"NI_Mon.Qtr.YTD",#N/A,FALSE,"Net Income";"Earnings_Month.Qtr.YTD",#N/A,FALSE,"Earnings";#N/A,#N/A,FALSE,"Indicators"}</definedName>
    <definedName name="_DSO1" localSheetId="4" hidden="1">{#N/A,#N/A,FALSE,"Cover";"NI_Mon.Qtr.YTD",#N/A,FALSE,"Net Income";"Earnings_Month.Qtr.YTD",#N/A,FALSE,"Earnings";#N/A,#N/A,FALSE,"Indicators"}</definedName>
    <definedName name="_DSO1" localSheetId="6" hidden="1">{#N/A,#N/A,FALSE,"Cover";"NI_Mon.Qtr.YTD",#N/A,FALSE,"Net Income";"Earnings_Month.Qtr.YTD",#N/A,FALSE,"Earnings";#N/A,#N/A,FALSE,"Indicators"}</definedName>
    <definedName name="_DSO1" localSheetId="9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2" hidden="1">{#N/A,#N/A,FALSE,"Cover";"NI_Mon.Qtr.YTD",#N/A,FALSE,"Net Income";"Earnings_Month.Qtr.YTD",#N/A,FALSE,"Earnings";#N/A,#N/A,FALSE,"Indicators"}</definedName>
    <definedName name="_DSO2" localSheetId="5" hidden="1">{#N/A,#N/A,FALSE,"Cover";"NI_Mon.Qtr.YTD",#N/A,FALSE,"Net Income";"Earnings_Month.Qtr.YTD",#N/A,FALSE,"Earnings";#N/A,#N/A,FALSE,"Indicators"}</definedName>
    <definedName name="_DSO2" localSheetId="7" hidden="1">{#N/A,#N/A,FALSE,"Cover";"NI_Mon.Qtr.YTD",#N/A,FALSE,"Net Income";"Earnings_Month.Qtr.YTD",#N/A,FALSE,"Earnings";#N/A,#N/A,FALSE,"Indicators"}</definedName>
    <definedName name="_DSO2" localSheetId="8" hidden="1">{#N/A,#N/A,FALSE,"Cover";"NI_Mon.Qtr.YTD",#N/A,FALSE,"Net Income";"Earnings_Month.Qtr.YTD",#N/A,FALSE,"Earnings";#N/A,#N/A,FALSE,"Indicators"}</definedName>
    <definedName name="_DSO2" localSheetId="1" hidden="1">{#N/A,#N/A,FALSE,"Cover";"NI_Mon.Qtr.YTD",#N/A,FALSE,"Net Income";"Earnings_Month.Qtr.YTD",#N/A,FALSE,"Earnings";#N/A,#N/A,FALSE,"Indicators"}</definedName>
    <definedName name="_DSO2" localSheetId="4" hidden="1">{#N/A,#N/A,FALSE,"Cover";"NI_Mon.Qtr.YTD",#N/A,FALSE,"Net Income";"Earnings_Month.Qtr.YTD",#N/A,FALSE,"Earnings";#N/A,#N/A,FALSE,"Indicators"}</definedName>
    <definedName name="_DSO2" localSheetId="6" hidden="1">{#N/A,#N/A,FALSE,"Cover";"NI_Mon.Qtr.YTD",#N/A,FALSE,"Net Income";"Earnings_Month.Qtr.YTD",#N/A,FALSE,"Earnings";#N/A,#N/A,FALSE,"Indicators"}</definedName>
    <definedName name="_DSO2" localSheetId="9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localSheetId="2" hidden="1">{#N/A,#N/A,FALSE,"Cover";"NI_Mon.Qtr.YTD",#N/A,FALSE,"Net Income";"Earnings_Month.Qtr.YTD",#N/A,FALSE,"Earnings";#N/A,#N/A,FALSE,"Indicators"}</definedName>
    <definedName name="_DSO3" localSheetId="5" hidden="1">{#N/A,#N/A,FALSE,"Cover";"NI_Mon.Qtr.YTD",#N/A,FALSE,"Net Income";"Earnings_Month.Qtr.YTD",#N/A,FALSE,"Earnings";#N/A,#N/A,FALSE,"Indicators"}</definedName>
    <definedName name="_DSO3" localSheetId="7" hidden="1">{#N/A,#N/A,FALSE,"Cover";"NI_Mon.Qtr.YTD",#N/A,FALSE,"Net Income";"Earnings_Month.Qtr.YTD",#N/A,FALSE,"Earnings";#N/A,#N/A,FALSE,"Indicators"}</definedName>
    <definedName name="_DSO3" localSheetId="8" hidden="1">{#N/A,#N/A,FALSE,"Cover";"NI_Mon.Qtr.YTD",#N/A,FALSE,"Net Income";"Earnings_Month.Qtr.YTD",#N/A,FALSE,"Earnings";#N/A,#N/A,FALSE,"Indicators"}</definedName>
    <definedName name="_DSO3" localSheetId="1" hidden="1">{#N/A,#N/A,FALSE,"Cover";"NI_Mon.Qtr.YTD",#N/A,FALSE,"Net Income";"Earnings_Month.Qtr.YTD",#N/A,FALSE,"Earnings";#N/A,#N/A,FALSE,"Indicators"}</definedName>
    <definedName name="_DSO3" localSheetId="4" hidden="1">{#N/A,#N/A,FALSE,"Cover";"NI_Mon.Qtr.YTD",#N/A,FALSE,"Net Income";"Earnings_Month.Qtr.YTD",#N/A,FALSE,"Earnings";#N/A,#N/A,FALSE,"Indicators"}</definedName>
    <definedName name="_DSO3" localSheetId="6" hidden="1">{#N/A,#N/A,FALSE,"Cover";"NI_Mon.Qtr.YTD",#N/A,FALSE,"Net Income";"Earnings_Month.Qtr.YTD",#N/A,FALSE,"Earnings";#N/A,#N/A,FALSE,"Indicators"}</definedName>
    <definedName name="_DSO3" localSheetId="9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 localSheetId="9">#REF!</definedName>
    <definedName name="_ESY12">#REF!</definedName>
    <definedName name="_Fill" localSheetId="2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localSheetId="1" hidden="1">#REF!</definedName>
    <definedName name="_Fill" localSheetId="4" hidden="1">#REF!</definedName>
    <definedName name="_Fill" localSheetId="6" hidden="1">#REF!</definedName>
    <definedName name="_Fill" hidden="1">#REF!</definedName>
    <definedName name="_INP5" localSheetId="9">#REF!</definedName>
    <definedName name="_INP5">#REF!</definedName>
    <definedName name="_Key1" localSheetId="2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1" hidden="1">#REF!</definedName>
    <definedName name="_Key1" localSheetId="4" hidden="1">#REF!</definedName>
    <definedName name="_Key1" localSheetId="6" hidden="1">#REF!</definedName>
    <definedName name="_Key1" localSheetId="9" hidden="1">#REF!</definedName>
    <definedName name="_Key1" hidden="1">#REF!</definedName>
    <definedName name="_key2" localSheetId="2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localSheetId="1" hidden="1">#REF!</definedName>
    <definedName name="_key2" localSheetId="4" hidden="1">#REF!</definedName>
    <definedName name="_key2" localSheetId="6" hidden="1">#REF!</definedName>
    <definedName name="_key2" localSheetId="9" hidden="1">#REF!</definedName>
    <definedName name="_key2" hidden="1">#REF!</definedName>
    <definedName name="_n4" localSheetId="2" hidden="1">{"EXCELHLP.HLP!1802";5;10;5;10;13;13;13;8;5;5;10;14;13;13;13;13;5;10;14;13;5;10;1;2;24}</definedName>
    <definedName name="_n4" localSheetId="8" hidden="1">{"EXCELHLP.HLP!1802";5;10;5;10;13;13;13;8;5;5;10;14;13;13;13;13;5;10;14;13;5;10;1;2;24}</definedName>
    <definedName name="_n4" localSheetId="9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n4_1" localSheetId="2" hidden="1">{"EXCELHLP.HLP!1802";5;10;5;10;13;13;13;8;5;5;10;14;13;13;13;13;5;10;14;13;5;10;1;2;24}</definedName>
    <definedName name="_n4_1" localSheetId="8" hidden="1">{"EXCELHLP.HLP!1802";5;10;5;10;13;13;13;8;5;5;10;14;13;13;13;13;5;10;14;13;5;10;1;2;24}</definedName>
    <definedName name="_n4_1" localSheetId="9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NEW91" localSheetId="9">#REF!</definedName>
    <definedName name="_NEW91">#REF!</definedName>
    <definedName name="_NEW92" localSheetId="9">#REF!</definedName>
    <definedName name="_NEW92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 localSheetId="2">#REF!</definedName>
    <definedName name="_RPT3" localSheetId="5">#REF!</definedName>
    <definedName name="_RPT3" localSheetId="8">#REF!</definedName>
    <definedName name="_RPT3" localSheetId="1">#REF!</definedName>
    <definedName name="_RPT3" localSheetId="4">#REF!</definedName>
    <definedName name="_RPT3">#REF!</definedName>
    <definedName name="_SCH1">#REF!</definedName>
    <definedName name="_SCH2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1" hidden="1">#REF!</definedName>
    <definedName name="_Sort" localSheetId="4" hidden="1">#REF!</definedName>
    <definedName name="_Sort" localSheetId="6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WN1">#REF!</definedName>
    <definedName name="_WN2">#REF!</definedName>
    <definedName name="a" localSheetId="2" hidden="1">{"Martin Oct94_Mar95",#N/A,FALSE,"Martin Oct94 - Mar95"}</definedName>
    <definedName name="a" localSheetId="5" hidden="1">{"Martin Oct94_Mar95",#N/A,FALSE,"Martin Oct94 - Mar95"}</definedName>
    <definedName name="a" localSheetId="7" hidden="1">{"Martin Oct94_Mar95",#N/A,FALSE,"Martin Oct94 - Mar95"}</definedName>
    <definedName name="a" localSheetId="8" hidden="1">{"Martin Oct94_Mar95",#N/A,FALSE,"Martin Oct94 - Mar95"}</definedName>
    <definedName name="a" localSheetId="1" hidden="1">{"Martin Oct94_Mar95",#N/A,FALSE,"Martin Oct94 - Mar95"}</definedName>
    <definedName name="a" localSheetId="4" hidden="1">{"Martin Oct94_Mar95",#N/A,FALSE,"Martin Oct94 - Mar95"}</definedName>
    <definedName name="a" localSheetId="6" hidden="1">{"Martin Oct94_Mar95",#N/A,FALSE,"Martin Oct94 - Mar95"}</definedName>
    <definedName name="a" localSheetId="9" hidden="1">{"Martin Oct94_Mar95",#N/A,FALSE,"Martin Oct94 - Mar95"}</definedName>
    <definedName name="a" hidden="1">{"Martin Oct94_Mar95",#N/A,FALSE,"Martin Oct94 - Mar95"}</definedName>
    <definedName name="A8_">#REF!</definedName>
    <definedName name="aa" localSheetId="2" hidden="1">{"Martin Oct94_Mar95",#N/A,FALSE,"Martin Oct94 - Mar95"}</definedName>
    <definedName name="aa" localSheetId="5" hidden="1">{"Martin Oct94_Mar95",#N/A,FALSE,"Martin Oct94 - Mar95"}</definedName>
    <definedName name="aa" localSheetId="7" hidden="1">{"Martin Oct94_Mar95",#N/A,FALSE,"Martin Oct94 - Mar95"}</definedName>
    <definedName name="aa" localSheetId="8" hidden="1">{"Martin Oct94_Mar95",#N/A,FALSE,"Martin Oct94 - Mar95"}</definedName>
    <definedName name="aa" localSheetId="1" hidden="1">{"Martin Oct94_Mar95",#N/A,FALSE,"Martin Oct94 - Mar95"}</definedName>
    <definedName name="aa" localSheetId="4" hidden="1">{"Martin Oct94_Mar95",#N/A,FALSE,"Martin Oct94 - Mar95"}</definedName>
    <definedName name="aa" localSheetId="6" hidden="1">{"Martin Oct94_Mar95",#N/A,FALSE,"Martin Oct94 - Mar95"}</definedName>
    <definedName name="aa" localSheetId="9" hidden="1">{"Martin Oct94_Mar95",#N/A,FALSE,"Martin Oct94 - Mar95"}</definedName>
    <definedName name="aa" hidden="1">{"Martin Oct94_Mar95",#N/A,FALSE,"Martin Oct94 - Mar95"}</definedName>
    <definedName name="aaa" localSheetId="2">#REF!</definedName>
    <definedName name="aaa" localSheetId="5">#REF!</definedName>
    <definedName name="aaa" localSheetId="7">#REF!</definedName>
    <definedName name="aaa" localSheetId="8">#REF!</definedName>
    <definedName name="aaa" localSheetId="1">#REF!</definedName>
    <definedName name="aaa" localSheetId="4">#REF!</definedName>
    <definedName name="aaa" localSheetId="6">#REF!</definedName>
    <definedName name="aaa" localSheetId="9">#REF!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5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7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6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9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c" localSheetId="2" hidden="1">{#N/A,#N/A,TRUE,"TOTAL DISTRIBUTION";#N/A,#N/A,TRUE,"SOUTH";#N/A,#N/A,TRUE,"NORTHEAST";#N/A,#N/A,TRUE,"WEST"}</definedName>
    <definedName name="abc" localSheetId="8" hidden="1">{#N/A,#N/A,TRUE,"TOTAL DISTRIBUTION";#N/A,#N/A,TRUE,"SOUTH";#N/A,#N/A,TRUE,"NORTHEAST";#N/A,#N/A,TRUE,"WEST"}</definedName>
    <definedName name="abc" localSheetId="9" hidden="1">{#N/A,#N/A,TRUE,"TOTAL DISTRIBUTION";#N/A,#N/A,TRUE,"SOUTH";#N/A,#N/A,TRUE,"NORTHEAST";#N/A,#N/A,TRUE,"WEST"}</definedName>
    <definedName name="abc" hidden="1">{#N/A,#N/A,TRUE,"TOTAL DISTRIBUTION";#N/A,#N/A,TRUE,"SOUTH";#N/A,#N/A,TRUE,"NORTHEAST";#N/A,#N/A,TRUE,"WEST"}</definedName>
    <definedName name="abcd" localSheetId="2" hidden="1">{#N/A,#N/A,TRUE,"TOTAL DSBN";#N/A,#N/A,TRUE,"WEST";#N/A,#N/A,TRUE,"SOUTH";#N/A,#N/A,TRUE,"NORTHEAST"}</definedName>
    <definedName name="abcd" localSheetId="8" hidden="1">{#N/A,#N/A,TRUE,"TOTAL DSBN";#N/A,#N/A,TRUE,"WEST";#N/A,#N/A,TRUE,"SOUTH";#N/A,#N/A,TRUE,"NORTHEAST"}</definedName>
    <definedName name="abcd" localSheetId="9" hidden="1">{#N/A,#N/A,TRUE,"TOTAL DSBN";#N/A,#N/A,TRUE,"WEST";#N/A,#N/A,TRUE,"SOUTH";#N/A,#N/A,TRUE,"NORTHEAST"}</definedName>
    <definedName name="abcd" hidden="1">{#N/A,#N/A,TRUE,"TOTAL DSBN";#N/A,#N/A,TRUE,"WEST";#N/A,#N/A,TRUE,"SOUTH";#N/A,#N/A,TRUE,"NORTHEAST"}</definedName>
    <definedName name="Actactmaste122017">#REF!</definedName>
    <definedName name="Actual_month">#REF!</definedName>
    <definedName name="actualp1" localSheetId="2">#REF!</definedName>
    <definedName name="actualp1" localSheetId="5">#REF!</definedName>
    <definedName name="actualp1" localSheetId="8">#REF!</definedName>
    <definedName name="actualp1" localSheetId="1">#REF!</definedName>
    <definedName name="actualp1" localSheetId="4">#REF!</definedName>
    <definedName name="actualp1">#REF!</definedName>
    <definedName name="actualp2" localSheetId="2">#REF!</definedName>
    <definedName name="actualp2" localSheetId="5">#REF!</definedName>
    <definedName name="actualp2" localSheetId="8">#REF!</definedName>
    <definedName name="actualp2" localSheetId="1">#REF!</definedName>
    <definedName name="actualp2" localSheetId="4">#REF!</definedName>
    <definedName name="actualp2">#REF!</definedName>
    <definedName name="actualp3" localSheetId="2">#REF!</definedName>
    <definedName name="actualp3" localSheetId="5">#REF!</definedName>
    <definedName name="actualp3" localSheetId="8">#REF!</definedName>
    <definedName name="actualp3" localSheetId="1">#REF!</definedName>
    <definedName name="actualp3" localSheetId="4">#REF!</definedName>
    <definedName name="actualp3">#REF!</definedName>
    <definedName name="AL" localSheetId="2">#REF!</definedName>
    <definedName name="AL" localSheetId="5">#REF!</definedName>
    <definedName name="AL" localSheetId="8">#REF!</definedName>
    <definedName name="AL" localSheetId="1">#REF!</definedName>
    <definedName name="AL" localSheetId="4">#REF!</definedName>
    <definedName name="AL">#REF!</definedName>
    <definedName name="ALL" localSheetId="2">#REF!</definedName>
    <definedName name="ALL" localSheetId="5">#REF!</definedName>
    <definedName name="ALL" localSheetId="8">#REF!</definedName>
    <definedName name="ALL" localSheetId="1">#REF!</definedName>
    <definedName name="ALL" localSheetId="4">#REF!</definedName>
    <definedName name="ALL">#REF!</definedName>
    <definedName name="am_index" localSheetId="9">#REF!</definedName>
    <definedName name="am_index">#REF!</definedName>
    <definedName name="ANNUAL" localSheetId="9">#REF!</definedName>
    <definedName name="ANNUAL">#REF!</definedName>
    <definedName name="anscount" hidden="1">1</definedName>
    <definedName name="ANSWERS" localSheetId="9">#REF!</definedName>
    <definedName name="ANSWERS">#REF!</definedName>
    <definedName name="Application" localSheetId="9">#REF!</definedName>
    <definedName name="Application">#REF!</definedName>
    <definedName name="AS2DocOpenMode" hidden="1">"AS2DocumentEdit"</definedName>
    <definedName name="asd" localSheetId="2" hidden="1">{2;#N/A;"R13C16:R17C16";#N/A;"R13C14:R17C15";FALSE;FALSE;FALSE;95;#N/A;#N/A;"R13C19";#N/A;FALSE;FALSE;FALSE;FALSE;#N/A;"";#N/A;FALSE;"";"";#N/A;#N/A;#N/A}</definedName>
    <definedName name="asd" localSheetId="8" hidden="1">{2;#N/A;"R13C16:R17C16";#N/A;"R13C14:R17C15";FALSE;FALSE;FALSE;95;#N/A;#N/A;"R13C19";#N/A;FALSE;FALSE;FALSE;FALSE;#N/A;"";#N/A;FALSE;"";"";#N/A;#N/A;#N/A}</definedName>
    <definedName name="asd" localSheetId="9" hidden="1">{2;#N/A;"R13C16:R17C16";#N/A;"R13C14:R17C15";FALSE;FALSE;FALSE;95;#N/A;#N/A;"R13C19";#N/A;FALSE;FALSE;FALSE;FALSE;#N/A;"";#N/A;FALSE;"";"";#N/A;#N/A;#N/A}</definedName>
    <definedName name="asd" hidden="1">{2;#N/A;"R13C16:R17C16";#N/A;"R13C14:R17C15";FALSE;FALSE;FALSE;95;#N/A;#N/A;"R13C19";#N/A;FALSE;FALSE;FALSE;FALSE;#N/A;"";#N/A;FALSE;"";"";#N/A;#N/A;#N/A}</definedName>
    <definedName name="aserf" localSheetId="2" hidden="1">{"Summary Schedule",#N/A,FALSE,"Sheet1";"Divisional Support",#N/A,FALSE,"Sheet2";"Corporate Support",#N/A,FALSE,"Sheet3"}</definedName>
    <definedName name="aserf" localSheetId="8" hidden="1">{"Summary Schedule",#N/A,FALSE,"Sheet1";"Divisional Support",#N/A,FALSE,"Sheet2";"Corporate Support",#N/A,FALSE,"Sheet3"}</definedName>
    <definedName name="aserf" localSheetId="9" hidden="1">{"Summary Schedule",#N/A,FALSE,"Sheet1";"Divisional Support",#N/A,FALSE,"Sheet2";"Corporate Support",#N/A,FALSE,"Sheet3"}</definedName>
    <definedName name="aserf" hidden="1">{"Summary Schedule",#N/A,FALSE,"Sheet1";"Divisional Support",#N/A,FALSE,"Sheet2";"Corporate Support",#N/A,FALSE,"Sheet3"}</definedName>
    <definedName name="aserf_1" localSheetId="2" hidden="1">{"Summary Schedule",#N/A,FALSE,"Sheet1";"Divisional Support",#N/A,FALSE,"Sheet2";"Corporate Support",#N/A,FALSE,"Sheet3"}</definedName>
    <definedName name="aserf_1" localSheetId="8" hidden="1">{"Summary Schedule",#N/A,FALSE,"Sheet1";"Divisional Support",#N/A,FALSE,"Sheet2";"Corporate Support",#N/A,FALSE,"Sheet3"}</definedName>
    <definedName name="aserf_1" localSheetId="9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localSheetId="2" hidden="1">{"Summary Schedule",#N/A,FALSE,"Sheet1";"Divisional Support",#N/A,FALSE,"Sheet2";"Corporate Support",#N/A,FALSE,"Sheet3"}</definedName>
    <definedName name="assssss" localSheetId="8" hidden="1">{"Summary Schedule",#N/A,FALSE,"Sheet1";"Divisional Support",#N/A,FALSE,"Sheet2";"Corporate Support",#N/A,FALSE,"Sheet3"}</definedName>
    <definedName name="assssss" localSheetId="9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localSheetId="2" hidden="1">{"Summary Schedule",#N/A,FALSE,"Sheet1";"Divisional Support",#N/A,FALSE,"Sheet2";"Corporate Support",#N/A,FALSE,"Sheet3"}</definedName>
    <definedName name="assssss_1" localSheetId="8" hidden="1">{"Summary Schedule",#N/A,FALSE,"Sheet1";"Divisional Support",#N/A,FALSE,"Sheet2";"Corporate Support",#N/A,FALSE,"Sheet3"}</definedName>
    <definedName name="assssss_1" localSheetId="9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tpregress_dlg_type" localSheetId="2" hidden="1">{"EXCELHLP.HLP!1802";5;10;5;10;13;13;13;8;5;5;10;14;13;13;13;13;5;10;14;13;5;10;1;2;24}</definedName>
    <definedName name="atpregress_dlg_type" localSheetId="5" hidden="1">{"EXCELHLP.HLP!1802";5;10;5;10;13;13;13;8;5;5;10;14;13;13;13;13;5;10;14;13;5;10;1;2;24}</definedName>
    <definedName name="atpregress_dlg_type" localSheetId="7" hidden="1">{"EXCELHLP.HLP!1802";5;10;5;10;13;13;13;8;5;5;10;14;13;13;13;13;5;10;14;13;5;10;1;2;24}</definedName>
    <definedName name="atpregress_dlg_type" localSheetId="8" hidden="1">{"EXCELHLP.HLP!1802";5;10;5;10;13;13;13;8;5;5;10;14;13;13;13;13;5;10;14;13;5;10;1;2;24}</definedName>
    <definedName name="atpregress_dlg_type" localSheetId="1" hidden="1">{"EXCELHLP.HLP!1802";5;10;5;10;13;13;13;8;5;5;10;14;13;13;13;13;5;10;14;13;5;10;1;2;24}</definedName>
    <definedName name="atpregress_dlg_type" localSheetId="4" hidden="1">{"EXCELHLP.HLP!1802";5;10;5;10;13;13;13;8;5;5;10;14;13;13;13;13;5;10;14;13;5;10;1;2;24}</definedName>
    <definedName name="atpregress_dlg_type" localSheetId="6" hidden="1">{"EXCELHLP.HLP!1802";5;10;5;10;13;13;13;8;5;5;10;14;13;13;13;13;5;10;14;13;5;10;1;2;24}</definedName>
    <definedName name="atpregress_dlg_type" localSheetId="9" hidden="1">{"EXCELHLP.HLP!1802";5;10;5;10;13;13;13;8;5;5;10;14;13;13;13;13;5;10;14;13;5;10;1;2;24}</definedName>
    <definedName name="atpregress_dlg_type" hidden="1">{"EXCELHLP.HLP!1802";5;10;5;10;13;13;13;8;5;5;10;14;13;13;13;13;5;10;14;13;5;10;1;2;24}</definedName>
    <definedName name="Aug5am">#REF!</definedName>
    <definedName name="BaseCap" localSheetId="2">#REF!</definedName>
    <definedName name="BaseCap" localSheetId="5">#REF!</definedName>
    <definedName name="BaseCap" localSheetId="8">#REF!</definedName>
    <definedName name="BaseCap" localSheetId="1">#REF!</definedName>
    <definedName name="BaseCap" localSheetId="4">#REF!</definedName>
    <definedName name="BaseCap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localSheetId="9" hidden="1">#REF!</definedName>
    <definedName name="BEx3O85IKWARA6NCJOLRBRJFMEWW" hidden="1">#REF!</definedName>
    <definedName name="BEx3OJZSCGFRW7SVGBFI0X9DNVMM" localSheetId="9" hidden="1">#REF!</definedName>
    <definedName name="BEx3OJZSCGFRW7SVGBFI0X9DNVMM" hidden="1">#REF!</definedName>
    <definedName name="BEx3ORSBUXAF21MKEY90YJV9AY9A" localSheetId="9" hidden="1">#REF!</definedName>
    <definedName name="BEx3ORSBUXAF21MKEY90YJV9AY9A" hidden="1">#REF!</definedName>
    <definedName name="BEx3OV8BH6PYNZT7C246LOAU9SVX" localSheetId="9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localSheetId="9" hidden="1">#REF!</definedName>
    <definedName name="BEx5MLQZM68YQSKARVWTTPINFQ2C" hidden="1">#REF!</definedName>
    <definedName name="BEx5MVXTKNBXHNWTL43C670E4KXC" localSheetId="9" hidden="1">#REF!</definedName>
    <definedName name="BEx5MVXTKNBXHNWTL43C670E4KXC" hidden="1">#REF!</definedName>
    <definedName name="BEx5N4XI4PWB1W9PMZ4O5R0HWTYD" localSheetId="9" hidden="1">#REF!</definedName>
    <definedName name="BEx5N4XI4PWB1W9PMZ4O5R0HWTYD" hidden="1">#REF!</definedName>
    <definedName name="BEx5NA68N6FJFX9UJXK4M14U487F" localSheetId="9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localSheetId="9" hidden="1">#REF!</definedName>
    <definedName name="BExERWCEBKQRYWRQLYJ4UCMMKTHG" hidden="1">#REF!</definedName>
    <definedName name="BExES44RHHDL3V7FLV6M20834WF1" localSheetId="9" hidden="1">#REF!</definedName>
    <definedName name="BExES44RHHDL3V7FLV6M20834WF1" hidden="1">#REF!</definedName>
    <definedName name="BExES4A7VE2X3RYYTVRLKZD4I7WU" localSheetId="9" hidden="1">#REF!</definedName>
    <definedName name="BExES4A7VE2X3RYYTVRLKZD4I7WU" hidden="1">#REF!</definedName>
    <definedName name="BExES6ZC8R7PHJ21OVJFLIR7DY30" localSheetId="9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localSheetId="9" hidden="1">#REF!</definedName>
    <definedName name="BExMBYPQDG9AYDQ5E8IECVFREPO6" hidden="1">#REF!</definedName>
    <definedName name="BExMC8AZUTX8LG89K2JJR7ZG62XX" localSheetId="9" hidden="1">#REF!</definedName>
    <definedName name="BExMC8AZUTX8LG89K2JJR7ZG62XX" hidden="1">#REF!</definedName>
    <definedName name="BExMCA96YR10V72G2R0SCIKPZLIZ" localSheetId="9" hidden="1">#REF!</definedName>
    <definedName name="BExMCA96YR10V72G2R0SCIKPZLIZ" hidden="1">#REF!</definedName>
    <definedName name="BExMCB5JU5I2VQDUBS4O42BTEVKI" localSheetId="9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localSheetId="9" hidden="1">#REF!</definedName>
    <definedName name="BExQ9ZLYHWABXAA9NJDW8ZS0UQ9P" hidden="1">#REF!</definedName>
    <definedName name="BExQA324HSCK40ENJUT9CS9EC71B" localSheetId="9" hidden="1">#REF!</definedName>
    <definedName name="BExQA324HSCK40ENJUT9CS9EC71B" hidden="1">#REF!</definedName>
    <definedName name="BExQA55GY0STSNBWQCWN8E31ZXCS" localSheetId="9" hidden="1">#REF!</definedName>
    <definedName name="BExQA55GY0STSNBWQCWN8E31ZXCS" hidden="1">#REF!</definedName>
    <definedName name="BExQA9HZIN9XEMHEEVHT99UU9Z82" localSheetId="9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localSheetId="9" hidden="1">#REF!</definedName>
    <definedName name="BExTUY9WNSJ91GV8CP0SKJTEIV82" hidden="1">#REF!</definedName>
    <definedName name="BExTV3O3JQGQFY3SDFTMBEM08TQX" localSheetId="9" hidden="1">#REF!</definedName>
    <definedName name="BExTV3O3JQGQFY3SDFTMBEM08TQX" hidden="1">#REF!</definedName>
    <definedName name="BExTV67VIM8PV6KO253M4DUBJQLC" localSheetId="9" hidden="1">#REF!</definedName>
    <definedName name="BExTV67VIM8PV6KO253M4DUBJQLC" hidden="1">#REF!</definedName>
    <definedName name="BExTVELZCF2YA5L6F23BYZZR6WHF" localSheetId="9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NNIE">#N/A</definedName>
    <definedName name="booby" localSheetId="2" hidden="1">{#N/A,#N/A,TRUE,"TOTAL DISTRIBUTION";#N/A,#N/A,TRUE,"SOUTH";#N/A,#N/A,TRUE,"NORTHEAST";#N/A,#N/A,TRUE,"WEST"}</definedName>
    <definedName name="booby" localSheetId="8" hidden="1">{#N/A,#N/A,TRUE,"TOTAL DISTRIBUTION";#N/A,#N/A,TRUE,"SOUTH";#N/A,#N/A,TRUE,"NORTHEAST";#N/A,#N/A,TRUE,"WEST"}</definedName>
    <definedName name="booby" localSheetId="9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localSheetId="2" hidden="1">{#N/A,#N/A,TRUE,"TOTAL DSBN";#N/A,#N/A,TRUE,"WEST";#N/A,#N/A,TRUE,"SOUTH";#N/A,#N/A,TRUE,"NORTHEAST"}</definedName>
    <definedName name="booby2" localSheetId="8" hidden="1">{#N/A,#N/A,TRUE,"TOTAL DSBN";#N/A,#N/A,TRUE,"WEST";#N/A,#N/A,TRUE,"SOUTH";#N/A,#N/A,TRUE,"NORTHEAST"}</definedName>
    <definedName name="booby2" localSheetId="9" hidden="1">{#N/A,#N/A,TRUE,"TOTAL DSBN";#N/A,#N/A,TRUE,"WEST";#N/A,#N/A,TRUE,"SOUTH";#N/A,#N/A,TRUE,"NORTHEAST"}</definedName>
    <definedName name="booby2" hidden="1">{#N/A,#N/A,TRUE,"TOTAL DSBN";#N/A,#N/A,TRUE,"WEST";#N/A,#N/A,TRUE,"SOUTH";#N/A,#N/A,TRUE,"NORTHEAST"}</definedName>
    <definedName name="book2.xls" localSheetId="2" hidden="1">{#N/A,#N/A,TRUE,"TOTAL DISTRIBUTION";#N/A,#N/A,TRUE,"SOUTH";#N/A,#N/A,TRUE,"NORTHEAST";#N/A,#N/A,TRUE,"WEST"}</definedName>
    <definedName name="book2.xls" localSheetId="8" hidden="1">{#N/A,#N/A,TRUE,"TOTAL DISTRIBUTION";#N/A,#N/A,TRUE,"SOUTH";#N/A,#N/A,TRUE,"NORTHEAST";#N/A,#N/A,TRUE,"WEST"}</definedName>
    <definedName name="book2.xls" localSheetId="9" hidden="1">{#N/A,#N/A,TRUE,"TOTAL DISTRIBUTION";#N/A,#N/A,TRUE,"SOUTH";#N/A,#N/A,TRUE,"NORTHEAST";#N/A,#N/A,TRUE,"WEST"}</definedName>
    <definedName name="book2.xls" hidden="1">{#N/A,#N/A,TRUE,"TOTAL DISTRIBUTION";#N/A,#N/A,TRUE,"SOUTH";#N/A,#N/A,TRUE,"NORTHEAST";#N/A,#N/A,TRUE,"WEST"}</definedName>
    <definedName name="book2a\.xls" localSheetId="2" hidden="1">{#N/A,#N/A,TRUE,"TOTAL DSBN";#N/A,#N/A,TRUE,"WEST";#N/A,#N/A,TRUE,"SOUTH";#N/A,#N/A,TRUE,"NORTHEAST"}</definedName>
    <definedName name="book2a\.xls" localSheetId="8" hidden="1">{#N/A,#N/A,TRUE,"TOTAL DSBN";#N/A,#N/A,TRUE,"WEST";#N/A,#N/A,TRUE,"SOUTH";#N/A,#N/A,TRUE,"NORTHEAST"}</definedName>
    <definedName name="book2a\.xls" localSheetId="9" hidden="1">{#N/A,#N/A,TRUE,"TOTAL DSBN";#N/A,#N/A,TRUE,"WEST";#N/A,#N/A,TRUE,"SOUTH";#N/A,#N/A,TRUE,"NORTHEAST"}</definedName>
    <definedName name="book2a\.xls" hidden="1">{#N/A,#N/A,TRUE,"TOTAL DSBN";#N/A,#N/A,TRUE,"WEST";#N/A,#N/A,TRUE,"SOUTH";#N/A,#N/A,TRUE,"NORTHEAST"}</definedName>
    <definedName name="BottomUDA">#REF!</definedName>
    <definedName name="bud" localSheetId="2" hidden="1">{"summary",#N/A,FALSE,"PCR DIRECTORY"}</definedName>
    <definedName name="bud" localSheetId="8" hidden="1">{"summary",#N/A,FALSE,"PCR DIRECTORY"}</definedName>
    <definedName name="bud" localSheetId="9" hidden="1">{"summary",#N/A,FALSE,"PCR DIRECTORY"}</definedName>
    <definedName name="bud" hidden="1">{"summary",#N/A,FALSE,"PCR DIRECTORY"}</definedName>
    <definedName name="budemp">#REF!</definedName>
    <definedName name="budemp1">#REF!</definedName>
    <definedName name="Budget" localSheetId="2">#REF!</definedName>
    <definedName name="Budget" localSheetId="5">#REF!</definedName>
    <definedName name="Budget" localSheetId="8">#REF!</definedName>
    <definedName name="Budget" localSheetId="1">#REF!</definedName>
    <definedName name="Budget" localSheetId="4">#REF!</definedName>
    <definedName name="Budget">#REF!</definedName>
    <definedName name="budgetplanlm" localSheetId="2" hidden="1">{"Part1",#N/A,FALSE,"BC_RECOM";"Part2",#N/A,FALSE,"BC_RECOM"}</definedName>
    <definedName name="budgetplanlm" localSheetId="8" hidden="1">{"Part1",#N/A,FALSE,"BC_RECOM";"Part2",#N/A,FALSE,"BC_RECOM"}</definedName>
    <definedName name="budgetplanlm" localSheetId="9" hidden="1">{"Part1",#N/A,FALSE,"BC_RECOM";"Part2",#N/A,FALSE,"BC_RECOM"}</definedName>
    <definedName name="budgetplanlm" hidden="1">{"Part1",#N/A,FALSE,"BC_RECOM";"Part2",#N/A,FALSE,"BC_RECOM"}</definedName>
    <definedName name="budgetplanm1" localSheetId="2" hidden="1">{"Part1",#N/A,FALSE,"BC_RECOM";"Part2",#N/A,FALSE,"BC_RECOM"}</definedName>
    <definedName name="budgetplanm1" localSheetId="8" hidden="1">{"Part1",#N/A,FALSE,"BC_RECOM";"Part2",#N/A,FALSE,"BC_RECOM"}</definedName>
    <definedName name="budgetplanm1" localSheetId="9" hidden="1">{"Part1",#N/A,FALSE,"BC_RECOM";"Part2",#N/A,FALSE,"BC_RECOM"}</definedName>
    <definedName name="budgetplanm1" hidden="1">{"Part1",#N/A,FALSE,"BC_RECOM";"Part2",#N/A,FALSE,"BC_RECOM"}</definedName>
    <definedName name="BUSelection">#REF!</definedName>
    <definedName name="CalcET" localSheetId="2">#REF!</definedName>
    <definedName name="CalcET" localSheetId="5">#REF!</definedName>
    <definedName name="CalcET" localSheetId="8">#REF!</definedName>
    <definedName name="CalcET" localSheetId="1">#REF!</definedName>
    <definedName name="CalcET" localSheetId="4">#REF!</definedName>
    <definedName name="CalcET" localSheetId="9">#REF!</definedName>
    <definedName name="CalcET">#REF!</definedName>
    <definedName name="CALCET1" localSheetId="2">#REF!</definedName>
    <definedName name="CALCET1" localSheetId="5">#REF!</definedName>
    <definedName name="CALCET1" localSheetId="8">#REF!</definedName>
    <definedName name="CALCET1" localSheetId="1">#REF!</definedName>
    <definedName name="CALCET1" localSheetId="4">#REF!</definedName>
    <definedName name="CALCET1">#REF!</definedName>
    <definedName name="calceta" localSheetId="2">#REF!</definedName>
    <definedName name="calceta" localSheetId="5">#REF!</definedName>
    <definedName name="calceta" localSheetId="8">#REF!</definedName>
    <definedName name="calceta" localSheetId="1">#REF!</definedName>
    <definedName name="calceta" localSheetId="4">#REF!</definedName>
    <definedName name="calceta">#REF!</definedName>
    <definedName name="CARRY91" localSheetId="9">#REF!</definedName>
    <definedName name="CARRY91">#REF!</definedName>
    <definedName name="CARRY92" localSheetId="9">#REF!</definedName>
    <definedName name="CARRY92">#REF!</definedName>
    <definedName name="CARRY93" localSheetId="9">#REF!</definedName>
    <definedName name="CARRY93">#REF!</definedName>
    <definedName name="cash1" localSheetId="2">#REF!</definedName>
    <definedName name="cash1" localSheetId="5">#REF!</definedName>
    <definedName name="cash1" localSheetId="8">#REF!</definedName>
    <definedName name="cash1" localSheetId="1">#REF!</definedName>
    <definedName name="cash1" localSheetId="4">#REF!</definedName>
    <definedName name="cash1" localSheetId="9">#REF!</definedName>
    <definedName name="cash1">#REF!</definedName>
    <definedName name="cash10" localSheetId="5">#REF!</definedName>
    <definedName name="cash10" localSheetId="4">#REF!</definedName>
    <definedName name="cash10" localSheetId="9">#REF!</definedName>
    <definedName name="cash10">#REF!</definedName>
    <definedName name="cash11" localSheetId="5">#REF!</definedName>
    <definedName name="cash11" localSheetId="4">#REF!</definedName>
    <definedName name="cash11" localSheetId="9">#REF!</definedName>
    <definedName name="cash11">#REF!</definedName>
    <definedName name="cash12" localSheetId="5">#REF!</definedName>
    <definedName name="cash12" localSheetId="4">#REF!</definedName>
    <definedName name="cash12" localSheetId="9">#REF!</definedName>
    <definedName name="cash12">#REF!</definedName>
    <definedName name="cash2" localSheetId="5">#REF!</definedName>
    <definedName name="cash2" localSheetId="4">#REF!</definedName>
    <definedName name="cash2" localSheetId="9">#REF!</definedName>
    <definedName name="cash2">#REF!</definedName>
    <definedName name="cash3" localSheetId="5">#REF!</definedName>
    <definedName name="cash3" localSheetId="4">#REF!</definedName>
    <definedName name="cash3" localSheetId="9">#REF!</definedName>
    <definedName name="cash3">#REF!</definedName>
    <definedName name="cash4" localSheetId="5">#REF!</definedName>
    <definedName name="cash4" localSheetId="4">#REF!</definedName>
    <definedName name="cash4" localSheetId="9">#REF!</definedName>
    <definedName name="cash4">#REF!</definedName>
    <definedName name="cash5" localSheetId="5">#REF!</definedName>
    <definedName name="cash5" localSheetId="4">#REF!</definedName>
    <definedName name="cash5" localSheetId="9">#REF!</definedName>
    <definedName name="cash5">#REF!</definedName>
    <definedName name="cash6" localSheetId="5">#REF!</definedName>
    <definedName name="cash6" localSheetId="4">#REF!</definedName>
    <definedName name="cash6" localSheetId="9">#REF!</definedName>
    <definedName name="cash6">#REF!</definedName>
    <definedName name="cash7" localSheetId="5">#REF!</definedName>
    <definedName name="cash7" localSheetId="4">#REF!</definedName>
    <definedName name="cash7" localSheetId="9">#REF!</definedName>
    <definedName name="cash7">#REF!</definedName>
    <definedName name="cash8" localSheetId="5">#REF!</definedName>
    <definedName name="cash8" localSheetId="4">#REF!</definedName>
    <definedName name="cash8" localSheetId="9">#REF!</definedName>
    <definedName name="cash8">#REF!</definedName>
    <definedName name="cash9" localSheetId="5">#REF!</definedName>
    <definedName name="cash9" localSheetId="4">#REF!</definedName>
    <definedName name="cash9" localSheetId="9">#REF!</definedName>
    <definedName name="cash9">#REF!</definedName>
    <definedName name="cashflow" localSheetId="5">#REF!</definedName>
    <definedName name="cashflow" localSheetId="4">#REF!</definedName>
    <definedName name="cashflow" localSheetId="9">#REF!</definedName>
    <definedName name="cashflow">#REF!</definedName>
    <definedName name="CC_Filler_Gas" localSheetId="9">#REF!</definedName>
    <definedName name="CC_Filler_Gas">#REF!</definedName>
    <definedName name="CFEsc" localSheetId="2">#REF!</definedName>
    <definedName name="CFEsc" localSheetId="5">#REF!</definedName>
    <definedName name="CFEsc" localSheetId="8">#REF!</definedName>
    <definedName name="CFEsc" localSheetId="1">#REF!</definedName>
    <definedName name="CFEsc" localSheetId="4">#REF!</definedName>
    <definedName name="CFEsc" localSheetId="9">#REF!</definedName>
    <definedName name="CFEsc">#REF!</definedName>
    <definedName name="cilc_demand" localSheetId="2">#REF!</definedName>
    <definedName name="cilc_demand" localSheetId="5">#REF!</definedName>
    <definedName name="cilc_demand" localSheetId="8">#REF!</definedName>
    <definedName name="cilc_demand" localSheetId="1">#REF!</definedName>
    <definedName name="cilc_demand" localSheetId="4">#REF!</definedName>
    <definedName name="cilc_demand">#REF!</definedName>
    <definedName name="cilc_energy" localSheetId="2">#REF!</definedName>
    <definedName name="cilc_energy" localSheetId="5">#REF!</definedName>
    <definedName name="cilc_energy" localSheetId="8">#REF!</definedName>
    <definedName name="cilc_energy" localSheetId="1">#REF!</definedName>
    <definedName name="cilc_energy" localSheetId="4">#REF!</definedName>
    <definedName name="cilc_energy">#REF!</definedName>
    <definedName name="cilc1_demand" localSheetId="2">#REF!</definedName>
    <definedName name="cilc1_demand" localSheetId="5">#REF!</definedName>
    <definedName name="cilc1_demand" localSheetId="8">#REF!</definedName>
    <definedName name="cilc1_demand" localSheetId="1">#REF!</definedName>
    <definedName name="cilc1_demand" localSheetId="4">#REF!</definedName>
    <definedName name="cilc1_demand">#REF!</definedName>
    <definedName name="cilc1_energy" localSheetId="2">#REF!</definedName>
    <definedName name="cilc1_energy" localSheetId="5">#REF!</definedName>
    <definedName name="cilc1_energy" localSheetId="8">#REF!</definedName>
    <definedName name="cilc1_energy" localSheetId="1">#REF!</definedName>
    <definedName name="cilc1_energy" localSheetId="4">#REF!</definedName>
    <definedName name="cilc1_energy">#REF!</definedName>
    <definedName name="cilc1d_demand" localSheetId="2">#REF!</definedName>
    <definedName name="cilc1d_demand" localSheetId="5">#REF!</definedName>
    <definedName name="cilc1d_demand" localSheetId="8">#REF!</definedName>
    <definedName name="cilc1d_demand" localSheetId="1">#REF!</definedName>
    <definedName name="cilc1d_demand" localSheetId="4">#REF!</definedName>
    <definedName name="cilc1d_demand">#REF!</definedName>
    <definedName name="cilc1d_energy" localSheetId="2">#REF!</definedName>
    <definedName name="cilc1d_energy" localSheetId="5">#REF!</definedName>
    <definedName name="cilc1d_energy" localSheetId="8">#REF!</definedName>
    <definedName name="cilc1d_energy" localSheetId="1">#REF!</definedName>
    <definedName name="cilc1d_energy" localSheetId="4">#REF!</definedName>
    <definedName name="cilc1d_energy">#REF!</definedName>
    <definedName name="cilca_demand" localSheetId="2">#REF!</definedName>
    <definedName name="cilca_demand" localSheetId="5">#REF!</definedName>
    <definedName name="cilca_demand" localSheetId="8">#REF!</definedName>
    <definedName name="cilca_demand" localSheetId="1">#REF!</definedName>
    <definedName name="cilca_demand" localSheetId="4">#REF!</definedName>
    <definedName name="cilca_demand">#REF!</definedName>
    <definedName name="cilca_energy" localSheetId="2">#REF!</definedName>
    <definedName name="cilca_energy" localSheetId="5">#REF!</definedName>
    <definedName name="cilca_energy" localSheetId="8">#REF!</definedName>
    <definedName name="cilca_energy" localSheetId="1">#REF!</definedName>
    <definedName name="cilca_energy" localSheetId="4">#REF!</definedName>
    <definedName name="cilca_energy">#REF!</definedName>
    <definedName name="cilcb_demand" localSheetId="2">#REF!</definedName>
    <definedName name="cilcb_demand" localSheetId="5">#REF!</definedName>
    <definedName name="cilcb_demand" localSheetId="8">#REF!</definedName>
    <definedName name="cilcb_demand" localSheetId="1">#REF!</definedName>
    <definedName name="cilcb_demand" localSheetId="4">#REF!</definedName>
    <definedName name="cilcb_demand">#REF!</definedName>
    <definedName name="cilcb_energy" localSheetId="2">#REF!</definedName>
    <definedName name="cilcb_energy" localSheetId="5">#REF!</definedName>
    <definedName name="cilcb_energy" localSheetId="8">#REF!</definedName>
    <definedName name="cilcb_energy" localSheetId="1">#REF!</definedName>
    <definedName name="cilcb_energy" localSheetId="4">#REF!</definedName>
    <definedName name="cilcb_energy">#REF!</definedName>
    <definedName name="cilcc_demand" localSheetId="2">#REF!</definedName>
    <definedName name="cilcc_demand" localSheetId="5">#REF!</definedName>
    <definedName name="cilcc_demand" localSheetId="8">#REF!</definedName>
    <definedName name="cilcc_demand" localSheetId="1">#REF!</definedName>
    <definedName name="cilcc_demand" localSheetId="4">#REF!</definedName>
    <definedName name="cilcc_demand">#REF!</definedName>
    <definedName name="cilcc_energy" localSheetId="2">#REF!</definedName>
    <definedName name="cilcc_energy" localSheetId="5">#REF!</definedName>
    <definedName name="cilcc_energy" localSheetId="8">#REF!</definedName>
    <definedName name="cilcc_energy" localSheetId="1">#REF!</definedName>
    <definedName name="cilcc_energy" localSheetId="4">#REF!</definedName>
    <definedName name="cilcc_energy">#REF!</definedName>
    <definedName name="cilcd_demand" localSheetId="2">#REF!</definedName>
    <definedName name="cilcd_demand" localSheetId="5">#REF!</definedName>
    <definedName name="cilcd_demand" localSheetId="8">#REF!</definedName>
    <definedName name="cilcd_demand" localSheetId="1">#REF!</definedName>
    <definedName name="cilcd_demand" localSheetId="4">#REF!</definedName>
    <definedName name="cilcd_demand">#REF!</definedName>
    <definedName name="cilcd_energy" localSheetId="2">#REF!</definedName>
    <definedName name="cilcd_energy" localSheetId="5">#REF!</definedName>
    <definedName name="cilcd_energy" localSheetId="8">#REF!</definedName>
    <definedName name="cilcd_energy" localSheetId="1">#REF!</definedName>
    <definedName name="cilcd_energy" localSheetId="4">#REF!</definedName>
    <definedName name="cilcd_energy">#REF!</definedName>
    <definedName name="CMCY" localSheetId="9">#REF!</definedName>
    <definedName name="CMCY">#REF!</definedName>
    <definedName name="co_name_line1" localSheetId="9">#REF!</definedName>
    <definedName name="co_name_line1">#REF!</definedName>
    <definedName name="co_name_line2" localSheetId="9">#REF!</definedName>
    <definedName name="co_name_line2">#REF!</definedName>
    <definedName name="CO2_rate" localSheetId="2">#REF!</definedName>
    <definedName name="CO2_rate" localSheetId="5">#REF!</definedName>
    <definedName name="CO2_rate" localSheetId="8">#REF!</definedName>
    <definedName name="CO2_rate" localSheetId="1">#REF!</definedName>
    <definedName name="CO2_rate" localSheetId="4">#REF!</definedName>
    <definedName name="CO2_rate">#REF!</definedName>
    <definedName name="coal" localSheetId="2">#REF!</definedName>
    <definedName name="coal" localSheetId="5">#REF!</definedName>
    <definedName name="coal" localSheetId="8">#REF!</definedName>
    <definedName name="coal" localSheetId="1">#REF!</definedName>
    <definedName name="coal" localSheetId="4">#REF!</definedName>
    <definedName name="coal">#REF!</definedName>
    <definedName name="cog1_energy" localSheetId="2">#REF!</definedName>
    <definedName name="cog1_energy" localSheetId="5">#REF!</definedName>
    <definedName name="cog1_energy" localSheetId="8">#REF!</definedName>
    <definedName name="cog1_energy" localSheetId="1">#REF!</definedName>
    <definedName name="cog1_energy" localSheetId="4">#REF!</definedName>
    <definedName name="cog1_energy">#REF!</definedName>
    <definedName name="COLCOM1" localSheetId="2">#REF!</definedName>
    <definedName name="COLCOM1" localSheetId="5">#REF!</definedName>
    <definedName name="COLCOM1" localSheetId="8">#REF!</definedName>
    <definedName name="COLCOM1" localSheetId="1">#REF!</definedName>
    <definedName name="COLCOM1" localSheetId="4">#REF!</definedName>
    <definedName name="COLCOM1" localSheetId="9">#REF!</definedName>
    <definedName name="COLCOM1">#REF!</definedName>
    <definedName name="COLMEM" localSheetId="5">#REF!</definedName>
    <definedName name="COLMEM" localSheetId="4">#REF!</definedName>
    <definedName name="COLMEM" localSheetId="9">#REF!</definedName>
    <definedName name="COLMEM">#REF!</definedName>
    <definedName name="COLUMN1" localSheetId="9">#REF!</definedName>
    <definedName name="COLUMN1">#REF!</definedName>
    <definedName name="COLUMN2" localSheetId="9">#REF!</definedName>
    <definedName name="COLUMN2">#REF!</definedName>
    <definedName name="COLUMN3" localSheetId="9">#REF!</definedName>
    <definedName name="COLUMN3">#REF!</definedName>
    <definedName name="COLUMN4" localSheetId="9">#REF!</definedName>
    <definedName name="COLUMN4">#REF!</definedName>
    <definedName name="COLUMN5" localSheetId="9">#REF!</definedName>
    <definedName name="COLUMN5">#REF!</definedName>
    <definedName name="COLUMN6" localSheetId="9">#REF!</definedName>
    <definedName name="COLUMN6">#REF!</definedName>
    <definedName name="COLUMN7" localSheetId="9">#REF!</definedName>
    <definedName name="COLUMN7">#REF!</definedName>
    <definedName name="COLUMN8" localSheetId="9">#REF!</definedName>
    <definedName name="COLUMN8">#REF!</definedName>
    <definedName name="COLUMN9" localSheetId="9">#REF!</definedName>
    <definedName name="COLUMN9">#REF!</definedName>
    <definedName name="ColumnCommand" localSheetId="5">#REF!</definedName>
    <definedName name="ColumnCommand" localSheetId="4">#REF!</definedName>
    <definedName name="ColumnCommand" localSheetId="9">#REF!</definedName>
    <definedName name="ColumnCommand">#REF!</definedName>
    <definedName name="ColumnMember" localSheetId="5">#REF!</definedName>
    <definedName name="ColumnMember" localSheetId="4">#REF!</definedName>
    <definedName name="ColumnMember" localSheetId="9">#REF!</definedName>
    <definedName name="ColumnMember">#REF!</definedName>
    <definedName name="COMM" localSheetId="9">#REF!</definedName>
    <definedName name="COMM">#REF!</definedName>
    <definedName name="COMP1" localSheetId="9">#REF!</definedName>
    <definedName name="COMP1">#REF!</definedName>
    <definedName name="COMP2" localSheetId="9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 localSheetId="9">#REF!</definedName>
    <definedName name="COMPTAX">#REF!</definedName>
    <definedName name="cost_1" localSheetId="2" hidden="1">{#N/A,#N/A,FALSE,"T COST";#N/A,#N/A,FALSE,"COST_FH"}</definedName>
    <definedName name="cost_1" localSheetId="8" hidden="1">{#N/A,#N/A,FALSE,"T COST";#N/A,#N/A,FALSE,"COST_FH"}</definedName>
    <definedName name="cost_1" localSheetId="9" hidden="1">{#N/A,#N/A,FALSE,"T COST";#N/A,#N/A,FALSE,"COST_FH"}</definedName>
    <definedName name="cost_1" hidden="1">{#N/A,#N/A,FALSE,"T COST";#N/A,#N/A,FALSE,"COST_FH"}</definedName>
    <definedName name="cost_range" localSheetId="5">#REF!</definedName>
    <definedName name="cost_range" localSheetId="4">#REF!</definedName>
    <definedName name="cost_range" localSheetId="9">#REF!</definedName>
    <definedName name="cost_range">#REF!</definedName>
    <definedName name="CPI" localSheetId="2">#REF!</definedName>
    <definedName name="CPI" localSheetId="8">#REF!</definedName>
    <definedName name="CPI" localSheetId="1">#REF!</definedName>
    <definedName name="CPI" localSheetId="9">#REF!</definedName>
    <definedName name="CPI">#REF!</definedName>
    <definedName name="CRIT5" localSheetId="9">#REF!</definedName>
    <definedName name="CRIT5">#REF!</definedName>
    <definedName name="Criteria_MI" localSheetId="9">#REF!</definedName>
    <definedName name="Criteria_MI">#REF!</definedName>
    <definedName name="cs_demand" localSheetId="2">#REF!</definedName>
    <definedName name="cs_demand" localSheetId="5">#REF!</definedName>
    <definedName name="cs_demand" localSheetId="8">#REF!</definedName>
    <definedName name="cs_demand" localSheetId="1">#REF!</definedName>
    <definedName name="cs_demand" localSheetId="4">#REF!</definedName>
    <definedName name="cs_demand" localSheetId="9">#REF!</definedName>
    <definedName name="cs_demand">#REF!</definedName>
    <definedName name="cs_energy" localSheetId="2">#REF!</definedName>
    <definedName name="cs_energy" localSheetId="5">#REF!</definedName>
    <definedName name="cs_energy" localSheetId="8">#REF!</definedName>
    <definedName name="cs_energy" localSheetId="1">#REF!</definedName>
    <definedName name="cs_energy" localSheetId="4">#REF!</definedName>
    <definedName name="cs_energy">#REF!</definedName>
    <definedName name="cslc_demand" localSheetId="2">#REF!</definedName>
    <definedName name="cslc_demand" localSheetId="5">#REF!</definedName>
    <definedName name="cslc_demand" localSheetId="8">#REF!</definedName>
    <definedName name="cslc_demand" localSheetId="1">#REF!</definedName>
    <definedName name="cslc_demand" localSheetId="4">#REF!</definedName>
    <definedName name="cslc_demand">#REF!</definedName>
    <definedName name="cslc_energy" localSheetId="2">#REF!</definedName>
    <definedName name="cslc_energy" localSheetId="5">#REF!</definedName>
    <definedName name="cslc_energy" localSheetId="8">#REF!</definedName>
    <definedName name="cslc_energy" localSheetId="1">#REF!</definedName>
    <definedName name="cslc_energy" localSheetId="4">#REF!</definedName>
    <definedName name="cslc_energy">#REF!</definedName>
    <definedName name="CT_Gas">#REF!</definedName>
    <definedName name="CurrentOptions">#REF!</definedName>
    <definedName name="CurrentRow" localSheetId="2">#REF!</definedName>
    <definedName name="CurrentRow" localSheetId="5">#REF!</definedName>
    <definedName name="CurrentRow" localSheetId="8">#REF!</definedName>
    <definedName name="CurrentRow" localSheetId="1">#REF!</definedName>
    <definedName name="CurrentRow" localSheetId="4">#REF!</definedName>
    <definedName name="CurrentRow">#REF!</definedName>
    <definedName name="CurrentRow_2">#REF!</definedName>
    <definedName name="Cwvu.GREY_ALL." hidden="1">#REF!</definedName>
    <definedName name="d_acct" localSheetId="9">#REF!</definedName>
    <definedName name="d_acct">#REF!</definedName>
    <definedName name="d_amt" localSheetId="9">#REF!</definedName>
    <definedName name="d_amt">#REF!</definedName>
    <definedName name="d_month" localSheetId="9">#REF!</definedName>
    <definedName name="d_month">#REF!</definedName>
    <definedName name="d_year" localSheetId="9">#REF!</definedName>
    <definedName name="d_year">#REF!</definedName>
    <definedName name="daCHeader1" localSheetId="2">#REF!</definedName>
    <definedName name="daCHeader1" localSheetId="5">#REF!</definedName>
    <definedName name="daCHeader1" localSheetId="8">#REF!</definedName>
    <definedName name="daCHeader1" localSheetId="1">#REF!</definedName>
    <definedName name="daCHeader1" localSheetId="4">#REF!</definedName>
    <definedName name="daCHeader1" localSheetId="9">#REF!</definedName>
    <definedName name="daCHeader1">#REF!</definedName>
    <definedName name="daCHeader10" localSheetId="2">#REF!</definedName>
    <definedName name="daCHeader10" localSheetId="5">#REF!</definedName>
    <definedName name="daCHeader10" localSheetId="8">#REF!</definedName>
    <definedName name="daCHeader10" localSheetId="1">#REF!</definedName>
    <definedName name="daCHeader10" localSheetId="4">#REF!</definedName>
    <definedName name="daCHeader10">#REF!</definedName>
    <definedName name="daCHeader11" localSheetId="2">#REF!</definedName>
    <definedName name="daCHeader11" localSheetId="5">#REF!</definedName>
    <definedName name="daCHeader11" localSheetId="8">#REF!</definedName>
    <definedName name="daCHeader11" localSheetId="1">#REF!</definedName>
    <definedName name="daCHeader11" localSheetId="4">#REF!</definedName>
    <definedName name="daCHeader11">#REF!</definedName>
    <definedName name="daCHeader12" localSheetId="2">#REF!</definedName>
    <definedName name="daCHeader12" localSheetId="5">#REF!</definedName>
    <definedName name="daCHeader12" localSheetId="8">#REF!</definedName>
    <definedName name="daCHeader12" localSheetId="1">#REF!</definedName>
    <definedName name="daCHeader12" localSheetId="4">#REF!</definedName>
    <definedName name="daCHeader12">#REF!</definedName>
    <definedName name="daCHeader13" localSheetId="2">#REF!</definedName>
    <definedName name="daCHeader13" localSheetId="5">#REF!</definedName>
    <definedName name="daCHeader13" localSheetId="8">#REF!</definedName>
    <definedName name="daCHeader13" localSheetId="1">#REF!</definedName>
    <definedName name="daCHeader13" localSheetId="4">#REF!</definedName>
    <definedName name="daCHeader13">#REF!</definedName>
    <definedName name="daCHeader2" localSheetId="2">#REF!</definedName>
    <definedName name="daCHeader2" localSheetId="5">#REF!</definedName>
    <definedName name="daCHeader2" localSheetId="8">#REF!</definedName>
    <definedName name="daCHeader2" localSheetId="1">#REF!</definedName>
    <definedName name="daCHeader2" localSheetId="4">#REF!</definedName>
    <definedName name="daCHeader2">#REF!</definedName>
    <definedName name="daCHeader3" localSheetId="2">#REF!</definedName>
    <definedName name="daCHeader3" localSheetId="5">#REF!</definedName>
    <definedName name="daCHeader3" localSheetId="8">#REF!</definedName>
    <definedName name="daCHeader3" localSheetId="1">#REF!</definedName>
    <definedName name="daCHeader3" localSheetId="4">#REF!</definedName>
    <definedName name="daCHeader3">#REF!</definedName>
    <definedName name="daCHeader4" localSheetId="2">#REF!</definedName>
    <definedName name="daCHeader4" localSheetId="5">#REF!</definedName>
    <definedName name="daCHeader4" localSheetId="8">#REF!</definedName>
    <definedName name="daCHeader4" localSheetId="1">#REF!</definedName>
    <definedName name="daCHeader4" localSheetId="4">#REF!</definedName>
    <definedName name="daCHeader4">#REF!</definedName>
    <definedName name="daCHeader5" localSheetId="2">#REF!</definedName>
    <definedName name="daCHeader5" localSheetId="5">#REF!</definedName>
    <definedName name="daCHeader5" localSheetId="8">#REF!</definedName>
    <definedName name="daCHeader5" localSheetId="1">#REF!</definedName>
    <definedName name="daCHeader5" localSheetId="4">#REF!</definedName>
    <definedName name="daCHeader5">#REF!</definedName>
    <definedName name="daCHeader6" localSheetId="2">#REF!</definedName>
    <definedName name="daCHeader6" localSheetId="5">#REF!</definedName>
    <definedName name="daCHeader6" localSheetId="8">#REF!</definedName>
    <definedName name="daCHeader6" localSheetId="1">#REF!</definedName>
    <definedName name="daCHeader6" localSheetId="4">#REF!</definedName>
    <definedName name="daCHeader6">#REF!</definedName>
    <definedName name="daCHeader7" localSheetId="2">#REF!</definedName>
    <definedName name="daCHeader7" localSheetId="5">#REF!</definedName>
    <definedName name="daCHeader7" localSheetId="8">#REF!</definedName>
    <definedName name="daCHeader7" localSheetId="1">#REF!</definedName>
    <definedName name="daCHeader7" localSheetId="4">#REF!</definedName>
    <definedName name="daCHeader7">#REF!</definedName>
    <definedName name="daCHeader8" localSheetId="2">#REF!</definedName>
    <definedName name="daCHeader8" localSheetId="5">#REF!</definedName>
    <definedName name="daCHeader8" localSheetId="8">#REF!</definedName>
    <definedName name="daCHeader8" localSheetId="1">#REF!</definedName>
    <definedName name="daCHeader8" localSheetId="4">#REF!</definedName>
    <definedName name="daCHeader8">#REF!</definedName>
    <definedName name="daCHeader9" localSheetId="2">#REF!</definedName>
    <definedName name="daCHeader9" localSheetId="5">#REF!</definedName>
    <definedName name="daCHeader9" localSheetId="8">#REF!</definedName>
    <definedName name="daCHeader9" localSheetId="1">#REF!</definedName>
    <definedName name="daCHeader9" localSheetId="4">#REF!</definedName>
    <definedName name="daCHeader9">#REF!</definedName>
    <definedName name="daPeriod" localSheetId="9">#REF!</definedName>
    <definedName name="daPeriod">#REF!</definedName>
    <definedName name="DAPERIOD1" localSheetId="9">#REF!</definedName>
    <definedName name="DAPERIOD1">#REF!</definedName>
    <definedName name="daperioda" localSheetId="2">#REF!</definedName>
    <definedName name="daperioda" localSheetId="5">#REF!</definedName>
    <definedName name="daperioda" localSheetId="8">#REF!</definedName>
    <definedName name="daperioda" localSheetId="1">#REF!</definedName>
    <definedName name="daperioda" localSheetId="4">#REF!</definedName>
    <definedName name="daperioda" localSheetId="9">#REF!</definedName>
    <definedName name="daperioda">#REF!</definedName>
    <definedName name="daRepStart" localSheetId="2">#REF!</definedName>
    <definedName name="daRepStart" localSheetId="5">#REF!</definedName>
    <definedName name="daRepStart" localSheetId="8">#REF!</definedName>
    <definedName name="daRepStart" localSheetId="1">#REF!</definedName>
    <definedName name="daRepStart" localSheetId="4">#REF!</definedName>
    <definedName name="daRepStart">#REF!</definedName>
    <definedName name="daRHeader1" localSheetId="2">#REF!</definedName>
    <definedName name="daRHeader1" localSheetId="5">#REF!</definedName>
    <definedName name="daRHeader1" localSheetId="8">#REF!</definedName>
    <definedName name="daRHeader1" localSheetId="1">#REF!</definedName>
    <definedName name="daRHeader1" localSheetId="4">#REF!</definedName>
    <definedName name="daRHeader1">#REF!</definedName>
    <definedName name="daRHeader2" localSheetId="2">#REF!</definedName>
    <definedName name="daRHeader2" localSheetId="5">#REF!</definedName>
    <definedName name="daRHeader2" localSheetId="8">#REF!</definedName>
    <definedName name="daRHeader2" localSheetId="1">#REF!</definedName>
    <definedName name="daRHeader2" localSheetId="4">#REF!</definedName>
    <definedName name="daRHeader2">#REF!</definedName>
    <definedName name="daRHeader3" localSheetId="2">#REF!</definedName>
    <definedName name="daRHeader3" localSheetId="5">#REF!</definedName>
    <definedName name="daRHeader3" localSheetId="8">#REF!</definedName>
    <definedName name="daRHeader3" localSheetId="1">#REF!</definedName>
    <definedName name="daRHeader3" localSheetId="4">#REF!</definedName>
    <definedName name="daRHeader3">#REF!</definedName>
    <definedName name="daScenario" localSheetId="2">#REF!</definedName>
    <definedName name="daScenario" localSheetId="5">#REF!</definedName>
    <definedName name="daScenario" localSheetId="8">#REF!</definedName>
    <definedName name="daScenario" localSheetId="1">#REF!</definedName>
    <definedName name="daScenario" localSheetId="4">#REF!</definedName>
    <definedName name="daScenario">#REF!</definedName>
    <definedName name="_xlnm.Database">#REF!</definedName>
    <definedName name="DataOrigin" localSheetId="9" hidden="1">#REF!</definedName>
    <definedName name="DataOrigin" hidden="1">#REF!</definedName>
    <definedName name="DATE1" localSheetId="9">#REF!</definedName>
    <definedName name="DATE1">#REF!</definedName>
    <definedName name="ddddd" localSheetId="2" hidden="1">{"Summary Schedule",#N/A,FALSE,"Sheet1";"Divisional Support",#N/A,FALSE,"Sheet2";"Corporate Support",#N/A,FALSE,"Sheet3"}</definedName>
    <definedName name="ddddd" localSheetId="8" hidden="1">{"Summary Schedule",#N/A,FALSE,"Sheet1";"Divisional Support",#N/A,FALSE,"Sheet2";"Corporate Support",#N/A,FALSE,"Sheet3"}</definedName>
    <definedName name="ddddd" localSheetId="9" hidden="1">{"Summary Schedule",#N/A,FALSE,"Sheet1";"Divisional Support",#N/A,FALSE,"Sheet2";"Corporate Support",#N/A,FALSE,"Sheet3"}</definedName>
    <definedName name="ddddd" hidden="1">{"Summary Schedule",#N/A,FALSE,"Sheet1";"Divisional Support",#N/A,FALSE,"Sheet2";"Corporate Support",#N/A,FALSE,"Sheet3"}</definedName>
    <definedName name="ddddd_1" localSheetId="2" hidden="1">{"Summary Schedule",#N/A,FALSE,"Sheet1";"Divisional Support",#N/A,FALSE,"Sheet2";"Corporate Support",#N/A,FALSE,"Sheet3"}</definedName>
    <definedName name="ddddd_1" localSheetId="8" hidden="1">{"Summary Schedule",#N/A,FALSE,"Sheet1";"Divisional Support",#N/A,FALSE,"Sheet2";"Corporate Support",#N/A,FALSE,"Sheet3"}</definedName>
    <definedName name="ddddd_1" localSheetId="9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localSheetId="2" hidden="1">{"Summary Schedule",#N/A,FALSE,"Sheet1";"Divisional Support",#N/A,FALSE,"Sheet2";"Corporate Support",#N/A,FALSE,"Sheet3"}</definedName>
    <definedName name="dddddda" localSheetId="8" hidden="1">{"Summary Schedule",#N/A,FALSE,"Sheet1";"Divisional Support",#N/A,FALSE,"Sheet2";"Corporate Support",#N/A,FALSE,"Sheet3"}</definedName>
    <definedName name="dddddda" localSheetId="9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localSheetId="2" hidden="1">{"Summary Schedule",#N/A,FALSE,"Sheet1";"Divisional Support",#N/A,FALSE,"Sheet2";"Corporate Support",#N/A,FALSE,"Sheet3"}</definedName>
    <definedName name="dddddda_1" localSheetId="8" hidden="1">{"Summary Schedule",#N/A,FALSE,"Sheet1";"Divisional Support",#N/A,FALSE,"Sheet2";"Corporate Support",#N/A,FALSE,"Sheet3"}</definedName>
    <definedName name="dddddda_1" localSheetId="9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faultPageMember1">#REF!</definedName>
    <definedName name="DefaultTitle">#REF!</definedName>
    <definedName name="DefaultUDA">#REF!</definedName>
    <definedName name="delete" localSheetId="2" hidden="1">{"summary",#N/A,FALSE,"PCR DIRECTORY"}</definedName>
    <definedName name="delete" localSheetId="8" hidden="1">{"summary",#N/A,FALSE,"PCR DIRECTORY"}</definedName>
    <definedName name="delete" localSheetId="9" hidden="1">{"summary",#N/A,FALSE,"PCR DIRECTORY"}</definedName>
    <definedName name="delete" hidden="1">{"summary",#N/A,FALSE,"PCR DIRECTORY"}</definedName>
    <definedName name="DETAIL_EST">#REF!</definedName>
    <definedName name="DIF_DETAIL">#REF!</definedName>
    <definedName name="DIF_SUM">#REF!</definedName>
    <definedName name="DIF_SUM_SUM">#REF!</definedName>
    <definedName name="disc">#REF!</definedName>
    <definedName name="Disc_Rate" localSheetId="9">#REF!</definedName>
    <definedName name="Disc_Rate">#REF!</definedName>
    <definedName name="Discount_rate" localSheetId="2">#REF!</definedName>
    <definedName name="Discount_rate" localSheetId="5">#REF!</definedName>
    <definedName name="Discount_rate" localSheetId="8">#REF!</definedName>
    <definedName name="Discount_rate" localSheetId="1">#REF!</definedName>
    <definedName name="Discount_rate" localSheetId="4">#REF!</definedName>
    <definedName name="Discount_rate" localSheetId="9">#REF!</definedName>
    <definedName name="Discount_rate">#REF!</definedName>
    <definedName name="dist_cost" localSheetId="2">#REF!</definedName>
    <definedName name="dist_cost" localSheetId="5">#REF!</definedName>
    <definedName name="dist_cost" localSheetId="8">#REF!</definedName>
    <definedName name="dist_cost" localSheetId="1">#REF!</definedName>
    <definedName name="dist_cost" localSheetId="4">#REF!</definedName>
    <definedName name="dist_cost" localSheetId="9">#REF!</definedName>
    <definedName name="dist_cost">#REF!</definedName>
    <definedName name="dist_cost_ci" localSheetId="2">#REF!</definedName>
    <definedName name="dist_cost_ci" localSheetId="5">#REF!</definedName>
    <definedName name="dist_cost_ci" localSheetId="8">#REF!</definedName>
    <definedName name="dist_cost_ci" localSheetId="1">#REF!</definedName>
    <definedName name="dist_cost_ci" localSheetId="4">#REF!</definedName>
    <definedName name="dist_cost_ci" localSheetId="9">#REF!</definedName>
    <definedName name="dist_cost_ci">#REF!</definedName>
    <definedName name="dist_cost_cs" localSheetId="5">#REF!</definedName>
    <definedName name="dist_cost_cs" localSheetId="4">#REF!</definedName>
    <definedName name="dist_cost_cs" localSheetId="9">#REF!</definedName>
    <definedName name="dist_cost_cs">#REF!</definedName>
    <definedName name="dist_cost_rlc" localSheetId="5">#REF!</definedName>
    <definedName name="dist_cost_rlc" localSheetId="4">#REF!</definedName>
    <definedName name="dist_cost_rlc" localSheetId="9">#REF!</definedName>
    <definedName name="dist_cost_rlc">#REF!</definedName>
    <definedName name="dist_fom" localSheetId="5">#REF!</definedName>
    <definedName name="dist_fom" localSheetId="4">#REF!</definedName>
    <definedName name="dist_fom" localSheetId="9">#REF!</definedName>
    <definedName name="dist_fom">#REF!</definedName>
    <definedName name="dist_fom_ci" localSheetId="5">#REF!</definedName>
    <definedName name="dist_fom_ci" localSheetId="4">#REF!</definedName>
    <definedName name="dist_fom_ci" localSheetId="9">#REF!</definedName>
    <definedName name="dist_fom_ci">#REF!</definedName>
    <definedName name="dist_fom_cs" localSheetId="5">#REF!</definedName>
    <definedName name="dist_fom_cs" localSheetId="4">#REF!</definedName>
    <definedName name="dist_fom_cs" localSheetId="9">#REF!</definedName>
    <definedName name="dist_fom_cs">#REF!</definedName>
    <definedName name="dist_fom_rlc" localSheetId="5">#REF!</definedName>
    <definedName name="dist_fom_rlc" localSheetId="4">#REF!</definedName>
    <definedName name="dist_fom_rlc" localSheetId="9">#REF!</definedName>
    <definedName name="dist_fom_rlc">#REF!</definedName>
    <definedName name="DMHEADER2" localSheetId="5">#REF!</definedName>
    <definedName name="DMHEADER2" localSheetId="4">#REF!</definedName>
    <definedName name="DMHEADER2" localSheetId="9">#REF!</definedName>
    <definedName name="DMHEADER2">#REF!</definedName>
    <definedName name="dmRepStart" localSheetId="5">#REF!</definedName>
    <definedName name="dmRepStart" localSheetId="4">#REF!</definedName>
    <definedName name="dmRepStart" localSheetId="9">#REF!</definedName>
    <definedName name="dmRepStart">#REF!</definedName>
    <definedName name="DMREPSTART1" localSheetId="5">#REF!</definedName>
    <definedName name="DMREPSTART1" localSheetId="4">#REF!</definedName>
    <definedName name="DMREPSTART1" localSheetId="9">#REF!</definedName>
    <definedName name="DMREPSTART1">#REF!</definedName>
    <definedName name="dmRHeader1" localSheetId="5">#REF!</definedName>
    <definedName name="dmRHeader1" localSheetId="4">#REF!</definedName>
    <definedName name="dmRHeader1" localSheetId="9">#REF!</definedName>
    <definedName name="dmRHeader1">#REF!</definedName>
    <definedName name="DOC1A" localSheetId="9">#REF!</definedName>
    <definedName name="DOC1A">#REF!</definedName>
    <definedName name="docket_num" localSheetId="9">#REF!</definedName>
    <definedName name="docket_num">#REF!</definedName>
    <definedName name="done" localSheetId="2" hidden="1">{"summary",#N/A,FALSE,"PCR DIRECTORY"}</definedName>
    <definedName name="done" localSheetId="8" hidden="1">{"summary",#N/A,FALSE,"PCR DIRECTORY"}</definedName>
    <definedName name="done" localSheetId="9" hidden="1">{"summary",#N/A,FALSE,"PCR DIRECTORY"}</definedName>
    <definedName name="done" hidden="1">{"summary",#N/A,FALSE,"PCR DIRECTORY"}</definedName>
    <definedName name="dsa" localSheetId="2" hidden="1">{#N/A,#N/A,FALSE,"1";#N/A,#N/A,FALSE,"2";#N/A,#N/A,FALSE,"3"}</definedName>
    <definedName name="dsa" localSheetId="5" hidden="1">{#N/A,#N/A,FALSE,"1";#N/A,#N/A,FALSE,"2";#N/A,#N/A,FALSE,"3"}</definedName>
    <definedName name="dsa" localSheetId="7" hidden="1">{#N/A,#N/A,FALSE,"1";#N/A,#N/A,FALSE,"2";#N/A,#N/A,FALSE,"3"}</definedName>
    <definedName name="dsa" localSheetId="8" hidden="1">{#N/A,#N/A,FALSE,"1";#N/A,#N/A,FALSE,"2";#N/A,#N/A,FALSE,"3"}</definedName>
    <definedName name="dsa" localSheetId="1" hidden="1">{#N/A,#N/A,FALSE,"1";#N/A,#N/A,FALSE,"2";#N/A,#N/A,FALSE,"3"}</definedName>
    <definedName name="dsa" localSheetId="4" hidden="1">{#N/A,#N/A,FALSE,"1";#N/A,#N/A,FALSE,"2";#N/A,#N/A,FALSE,"3"}</definedName>
    <definedName name="dsa" localSheetId="6" hidden="1">{#N/A,#N/A,FALSE,"1";#N/A,#N/A,FALSE,"2";#N/A,#N/A,FALSE,"3"}</definedName>
    <definedName name="dsa" localSheetId="9" hidden="1">{#N/A,#N/A,FALSE,"1";#N/A,#N/A,FALSE,"2";#N/A,#N/A,FALSE,"3"}</definedName>
    <definedName name="dsa" hidden="1">{#N/A,#N/A,FALSE,"1";#N/A,#N/A,FALSE,"2";#N/A,#N/A,FALSE,"3"}</definedName>
    <definedName name="DSOV2" localSheetId="2" hidden="1">{#N/A,#N/A,FALSE,"1";#N/A,#N/A,FALSE,"2";#N/A,#N/A,FALSE,"3"}</definedName>
    <definedName name="DSOV2" localSheetId="5" hidden="1">{#N/A,#N/A,FALSE,"1";#N/A,#N/A,FALSE,"2";#N/A,#N/A,FALSE,"3"}</definedName>
    <definedName name="DSOV2" localSheetId="7" hidden="1">{#N/A,#N/A,FALSE,"1";#N/A,#N/A,FALSE,"2";#N/A,#N/A,FALSE,"3"}</definedName>
    <definedName name="DSOV2" localSheetId="8" hidden="1">{#N/A,#N/A,FALSE,"1";#N/A,#N/A,FALSE,"2";#N/A,#N/A,FALSE,"3"}</definedName>
    <definedName name="DSOV2" localSheetId="1" hidden="1">{#N/A,#N/A,FALSE,"1";#N/A,#N/A,FALSE,"2";#N/A,#N/A,FALSE,"3"}</definedName>
    <definedName name="DSOV2" localSheetId="4" hidden="1">{#N/A,#N/A,FALSE,"1";#N/A,#N/A,FALSE,"2";#N/A,#N/A,FALSE,"3"}</definedName>
    <definedName name="DSOV2" localSheetId="6" hidden="1">{#N/A,#N/A,FALSE,"1";#N/A,#N/A,FALSE,"2";#N/A,#N/A,FALSE,"3"}</definedName>
    <definedName name="DSOV2" localSheetId="9" hidden="1">{#N/A,#N/A,FALSE,"1";#N/A,#N/A,FALSE,"2";#N/A,#N/A,FALSE,"3"}</definedName>
    <definedName name="DSOV2" hidden="1">{#N/A,#N/A,FALSE,"1";#N/A,#N/A,FALSE,"2";#N/A,#N/A,FALSE,"3"}</definedName>
    <definedName name="e" localSheetId="2" hidden="1">{"Martin Apr95_Sep95",#N/A,FALSE,"Martin Apr95 - Sep95"}</definedName>
    <definedName name="e" localSheetId="5" hidden="1">{"Martin Apr95_Sep95",#N/A,FALSE,"Martin Apr95 - Sep95"}</definedName>
    <definedName name="e" localSheetId="7" hidden="1">{"Martin Apr95_Sep95",#N/A,FALSE,"Martin Apr95 - Sep95"}</definedName>
    <definedName name="e" localSheetId="8" hidden="1">{"Martin Apr95_Sep95",#N/A,FALSE,"Martin Apr95 - Sep95"}</definedName>
    <definedName name="e" localSheetId="1" hidden="1">{"Martin Apr95_Sep95",#N/A,FALSE,"Martin Apr95 - Sep95"}</definedName>
    <definedName name="e" localSheetId="6" hidden="1">{"Martin Apr95_Sep95",#N/A,FALSE,"Martin Apr95 - Sep95"}</definedName>
    <definedName name="e" localSheetId="9" hidden="1">{"Martin Apr95_Sep95",#N/A,FALSE,"Martin Apr95 - Sep95"}</definedName>
    <definedName name="e" hidden="1">{"Martin Apr95_Sep95",#N/A,FALSE,"Martin Apr95 - Sep95"}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AST" localSheetId="9">#REF!</definedName>
    <definedName name="EAST">#REF!</definedName>
    <definedName name="ECCR" localSheetId="2">#REF!</definedName>
    <definedName name="ECCR" localSheetId="5">#REF!</definedName>
    <definedName name="ECCR" localSheetId="8">#REF!</definedName>
    <definedName name="ECCR" localSheetId="1">#REF!</definedName>
    <definedName name="ECCR" localSheetId="4">#REF!</definedName>
    <definedName name="ECCR" localSheetId="9">#REF!</definedName>
    <definedName name="ECCR">#REF!</definedName>
    <definedName name="ed" localSheetId="2">#REF!</definedName>
    <definedName name="ed" localSheetId="5">#REF!</definedName>
    <definedName name="ed" localSheetId="8">#REF!</definedName>
    <definedName name="ed" localSheetId="1">#REF!</definedName>
    <definedName name="ed" localSheetId="4">#REF!</definedName>
    <definedName name="ed" localSheetId="9">#REF!</definedName>
    <definedName name="ed">#REF!</definedName>
    <definedName name="EmergorNon" localSheetId="9">#REF!</definedName>
    <definedName name="EmergorNon">#REF!</definedName>
    <definedName name="Energy_Sales" localSheetId="9">#REF!</definedName>
    <definedName name="Energy_Sales">#REF!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rase" localSheetId="2" hidden="1">{#N/A,#N/A,TRUE,"TOTAL DISTRIBUTION";#N/A,#N/A,TRUE,"SOUTH";#N/A,#N/A,TRUE,"NORTHEAST";#N/A,#N/A,TRUE,"WEST"}</definedName>
    <definedName name="erase" localSheetId="8" hidden="1">{#N/A,#N/A,TRUE,"TOTAL DISTRIBUTION";#N/A,#N/A,TRUE,"SOUTH";#N/A,#N/A,TRUE,"NORTHEAST";#N/A,#N/A,TRUE,"WEST"}</definedName>
    <definedName name="erase" localSheetId="9" hidden="1">{#N/A,#N/A,TRUE,"TOTAL DISTRIBUTION";#N/A,#N/A,TRUE,"SOUTH";#N/A,#N/A,TRUE,"NORTHEAST";#N/A,#N/A,TRUE,"WEST"}</definedName>
    <definedName name="erase" hidden="1">{#N/A,#N/A,TRUE,"TOTAL DISTRIBUTION";#N/A,#N/A,TRUE,"SOUTH";#N/A,#N/A,TRUE,"NORTHEAST";#N/A,#N/A,TRUE,"WEST"}</definedName>
    <definedName name="ert4e" localSheetId="2" hidden="1">{#N/A,#N/A,TRUE,"TOTAL DISTRIBUTION";#N/A,#N/A,TRUE,"SOUTH";#N/A,#N/A,TRUE,"NORTHEAST";#N/A,#N/A,TRUE,"WEST"}</definedName>
    <definedName name="ert4e" localSheetId="8" hidden="1">{#N/A,#N/A,TRUE,"TOTAL DISTRIBUTION";#N/A,#N/A,TRUE,"SOUTH";#N/A,#N/A,TRUE,"NORTHEAST";#N/A,#N/A,TRUE,"WEST"}</definedName>
    <definedName name="ert4e" localSheetId="9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c" localSheetId="9">#REF!</definedName>
    <definedName name="esc">#REF!</definedName>
    <definedName name="esct" localSheetId="9">#REF!</definedName>
    <definedName name="esct">#REF!</definedName>
    <definedName name="Ess_Database" localSheetId="9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A" localSheetId="9">#REF!</definedName>
    <definedName name="ESYA">#REF!</definedName>
    <definedName name="ESYTD" localSheetId="9">#REF!</definedName>
    <definedName name="ESYTD">#REF!</definedName>
    <definedName name="ESYY" localSheetId="9">#REF!</definedName>
    <definedName name="ESYY">#REF!</definedName>
    <definedName name="Exists" localSheetId="9">#REF!</definedName>
    <definedName name="Exists">#REF!</definedName>
    <definedName name="_xlnm.Extract" localSheetId="9">#REF!</definedName>
    <definedName name="_xlnm.Extract">#REF!</definedName>
    <definedName name="Extract_MI" localSheetId="9">#REF!</definedName>
    <definedName name="Extract_MI">#REF!</definedName>
    <definedName name="f" localSheetId="2" hidden="1">{#N/A,#N/A,TRUE,"TOTAL DISTRIBUTION";#N/A,#N/A,TRUE,"SOUTH";#N/A,#N/A,TRUE,"NORTHEAST";#N/A,#N/A,TRUE,"WEST"}</definedName>
    <definedName name="f" localSheetId="8" hidden="1">{#N/A,#N/A,TRUE,"TOTAL DISTRIBUTION";#N/A,#N/A,TRUE,"SOUTH";#N/A,#N/A,TRUE,"NORTHEAST";#N/A,#N/A,TRUE,"WEST"}</definedName>
    <definedName name="f" localSheetId="9" hidden="1">{#N/A,#N/A,TRUE,"TOTAL DISTRIBUTION";#N/A,#N/A,TRUE,"SOUTH";#N/A,#N/A,TRUE,"NORTHEAST";#N/A,#N/A,TRUE,"WEST"}</definedName>
    <definedName name="f" hidden="1">{#N/A,#N/A,TRUE,"TOTAL DISTRIBUTION";#N/A,#N/A,TRUE,"SOUTH";#N/A,#N/A,TRUE,"NORTHEAST";#N/A,#N/A,TRUE,"WEST"}</definedName>
    <definedName name="Fcst_month">#REF!</definedName>
    <definedName name="FERC">#REF!</definedName>
    <definedName name="FERCTAX">#REF!</definedName>
    <definedName name="fg" localSheetId="2" hidden="1">{#N/A,#N/A,FALSE,"T COST";#N/A,#N/A,FALSE,"COST_FH"}</definedName>
    <definedName name="fg" localSheetId="8" hidden="1">{#N/A,#N/A,FALSE,"T COST";#N/A,#N/A,FALSE,"COST_FH"}</definedName>
    <definedName name="fg" localSheetId="9" hidden="1">{#N/A,#N/A,FALSE,"T COST";#N/A,#N/A,FALSE,"COST_FH"}</definedName>
    <definedName name="fg" hidden="1">{#N/A,#N/A,FALSE,"T COST";#N/A,#N/A,FALSE,"COST_FH"}</definedName>
    <definedName name="Fims1_fuel_class_yearly_results">#REF!</definedName>
    <definedName name="finance_start_year" localSheetId="2">#REF!</definedName>
    <definedName name="finance_start_year" localSheetId="5">#REF!</definedName>
    <definedName name="finance_start_year" localSheetId="8">#REF!</definedName>
    <definedName name="finance_start_year" localSheetId="1">#REF!</definedName>
    <definedName name="finance_start_year" localSheetId="4">#REF!</definedName>
    <definedName name="finance_start_year" localSheetId="9">#REF!</definedName>
    <definedName name="finance_start_year">#REF!</definedName>
    <definedName name="findwrn" localSheetId="2" hidden="1">{#N/A,#N/A,TRUE,"TOTAL DISTRIBUTION";#N/A,#N/A,TRUE,"SOUTH";#N/A,#N/A,TRUE,"NORTHEAST";#N/A,#N/A,TRUE,"WEST"}</definedName>
    <definedName name="findwrn" localSheetId="8" hidden="1">{#N/A,#N/A,TRUE,"TOTAL DISTRIBUTION";#N/A,#N/A,TRUE,"SOUTH";#N/A,#N/A,TRUE,"NORTHEAST";#N/A,#N/A,TRUE,"WEST"}</definedName>
    <definedName name="findwrn" localSheetId="9" hidden="1">{#N/A,#N/A,TRUE,"TOTAL DISTRIBUTION";#N/A,#N/A,TRUE,"SOUTH";#N/A,#N/A,TRUE,"NORTHEAST";#N/A,#N/A,TRUE,"WEST"}</definedName>
    <definedName name="findwrn" hidden="1">{#N/A,#N/A,TRUE,"TOTAL DISTRIBUTION";#N/A,#N/A,TRUE,"SOUTH";#N/A,#N/A,TRUE,"NORTHEAST";#N/A,#N/A,TRUE,"WEST"}</definedName>
    <definedName name="findwrnor" localSheetId="2" hidden="1">{#N/A,#N/A,TRUE,"TOTAL DSBN";#N/A,#N/A,TRUE,"WEST";#N/A,#N/A,TRUE,"SOUTH";#N/A,#N/A,TRUE,"NORTHEAST"}</definedName>
    <definedName name="findwrnor" localSheetId="8" hidden="1">{#N/A,#N/A,TRUE,"TOTAL DSBN";#N/A,#N/A,TRUE,"WEST";#N/A,#N/A,TRUE,"SOUTH";#N/A,#N/A,TRUE,"NORTHEAST"}</definedName>
    <definedName name="findwrnor" localSheetId="9" hidden="1">{#N/A,#N/A,TRUE,"TOTAL DSBN";#N/A,#N/A,TRUE,"WEST";#N/A,#N/A,TRUE,"SOUTH";#N/A,#N/A,TRUE,"NORTHEAST"}</definedName>
    <definedName name="findwrnor" hidden="1">{#N/A,#N/A,TRUE,"TOTAL DSBN";#N/A,#N/A,TRUE,"WEST";#N/A,#N/A,TRUE,"SOUTH";#N/A,#N/A,TRUE,"NORTHEAST"}</definedName>
    <definedName name="FINISH" localSheetId="2" hidden="1">{#N/A,#N/A,TRUE,"TOTAL DISTRIBUTION";#N/A,#N/A,TRUE,"SOUTH";#N/A,#N/A,TRUE,"NORTHEAST";#N/A,#N/A,TRUE,"WEST"}</definedName>
    <definedName name="FINISH" localSheetId="8" hidden="1">{#N/A,#N/A,TRUE,"TOTAL DISTRIBUTION";#N/A,#N/A,TRUE,"SOUTH";#N/A,#N/A,TRUE,"NORTHEAST";#N/A,#N/A,TRUE,"WEST"}</definedName>
    <definedName name="FINISH" localSheetId="9" hidden="1">{#N/A,#N/A,TRUE,"TOTAL DISTRIBUTION";#N/A,#N/A,TRUE,"SOUTH";#N/A,#N/A,TRUE,"NORTHEAST";#N/A,#N/A,TRUE,"WEST"}</definedName>
    <definedName name="FINISH" hidden="1">{#N/A,#N/A,TRUE,"TOTAL DISTRIBUTION";#N/A,#N/A,TRUE,"SOUTH";#N/A,#N/A,TRUE,"NORTHEAST";#N/A,#N/A,TRUE,"WEST"}</definedName>
    <definedName name="FormatSelection">#REF!</definedName>
    <definedName name="FPSC">#REF!</definedName>
    <definedName name="FPSCTAX">#REF!</definedName>
    <definedName name="FUEL" localSheetId="9">#REF!</definedName>
    <definedName name="FUEL">#REF!</definedName>
    <definedName name="FUEL2" localSheetId="2">#REF!</definedName>
    <definedName name="FUEL2" localSheetId="5">#REF!</definedName>
    <definedName name="FUEL2" localSheetId="8">#REF!</definedName>
    <definedName name="FUEL2" localSheetId="1">#REF!</definedName>
    <definedName name="FUEL2" localSheetId="4">#REF!</definedName>
    <definedName name="FUEL2" localSheetId="9">#REF!</definedName>
    <definedName name="FUEL2">#REF!</definedName>
    <definedName name="future_cost" localSheetId="9">#REF!</definedName>
    <definedName name="future_cost">#REF!</definedName>
    <definedName name="gas_esc" localSheetId="2">#REF!</definedName>
    <definedName name="gas_esc" localSheetId="5">#REF!</definedName>
    <definedName name="gas_esc" localSheetId="8">#REF!</definedName>
    <definedName name="gas_esc" localSheetId="1">#REF!</definedName>
    <definedName name="gas_esc" localSheetId="4">#REF!</definedName>
    <definedName name="gas_esc">#REF!</definedName>
    <definedName name="gas_esc1" localSheetId="2">#REF!</definedName>
    <definedName name="gas_esc1" localSheetId="5">#REF!</definedName>
    <definedName name="gas_esc1" localSheetId="8">#REF!</definedName>
    <definedName name="gas_esc1" localSheetId="1">#REF!</definedName>
    <definedName name="gas_esc1" localSheetId="4">#REF!</definedName>
    <definedName name="gas_esc1">#REF!</definedName>
    <definedName name="gas_fixed_cost">#REF!</definedName>
    <definedName name="gas_fixed_filler_2016">#REF!</definedName>
    <definedName name="gas_fixed_wcec1_2">#REF!</definedName>
    <definedName name="Gas_Percent" localSheetId="2">#REF!</definedName>
    <definedName name="Gas_Percent" localSheetId="5">#REF!</definedName>
    <definedName name="Gas_Percent" localSheetId="8">#REF!</definedName>
    <definedName name="Gas_Percent" localSheetId="1">#REF!</definedName>
    <definedName name="Gas_Percent" localSheetId="4">#REF!</definedName>
    <definedName name="Gas_Percent">#REF!</definedName>
    <definedName name="genplant">#REF!</definedName>
    <definedName name="GenSignups" localSheetId="2">#REF!</definedName>
    <definedName name="GenSignups" localSheetId="5">#REF!</definedName>
    <definedName name="GenSignups" localSheetId="8">#REF!</definedName>
    <definedName name="GenSignups" localSheetId="1">#REF!</definedName>
    <definedName name="GenSignups" localSheetId="4">#REF!</definedName>
    <definedName name="GenSignups" localSheetId="9">#REF!</definedName>
    <definedName name="GenSignups">#REF!</definedName>
    <definedName name="gh" localSheetId="2" hidden="1">{"view1",#N/A,FALSE,"ON AIR"}</definedName>
    <definedName name="gh" localSheetId="8" hidden="1">{"view1",#N/A,FALSE,"ON AIR"}</definedName>
    <definedName name="gh" localSheetId="9" hidden="1">{"view1",#N/A,FALSE,"ON AIR"}</definedName>
    <definedName name="gh" hidden="1">{"view1",#N/A,FALSE,"ON AIR"}</definedName>
    <definedName name="gh_1" localSheetId="2" hidden="1">{"view1",#N/A,FALSE,"ON AIR"}</definedName>
    <definedName name="gh_1" localSheetId="8" hidden="1">{"view1",#N/A,FALSE,"ON AIR"}</definedName>
    <definedName name="gh_1" localSheetId="9" hidden="1">{"view1",#N/A,FALSE,"ON AIR"}</definedName>
    <definedName name="gh_1" hidden="1">{"view1",#N/A,FALSE,"ON AIR"}</definedName>
    <definedName name="GP_COMPSTUD_Sheet" localSheetId="9">#REF!</definedName>
    <definedName name="GP_COMPSTUD_Sheet">#REF!</definedName>
    <definedName name="GP_Cost_of_Capital" localSheetId="9">#REF!</definedName>
    <definedName name="GP_Cost_of_Capital">#REF!</definedName>
    <definedName name="GP_Sheet1" localSheetId="9">#REF!</definedName>
    <definedName name="GP_Sheet1">#REF!</definedName>
    <definedName name="GROUP" localSheetId="9">#REF!</definedName>
    <definedName name="GROUP">#REF!</definedName>
    <definedName name="GROUP2" localSheetId="9">#REF!</definedName>
    <definedName name="GROUP2">#REF!</definedName>
    <definedName name="GROUP3" localSheetId="9">#REF!</definedName>
    <definedName name="GROUP3">#REF!</definedName>
    <definedName name="gs_demand" localSheetId="2">#REF!</definedName>
    <definedName name="gs_demand" localSheetId="5">#REF!</definedName>
    <definedName name="gs_demand" localSheetId="8">#REF!</definedName>
    <definedName name="gs_demand" localSheetId="1">#REF!</definedName>
    <definedName name="gs_demand" localSheetId="4">#REF!</definedName>
    <definedName name="gs_demand" localSheetId="9">#REF!</definedName>
    <definedName name="gs_demand">#REF!</definedName>
    <definedName name="gs_energy" localSheetId="2">#REF!</definedName>
    <definedName name="gs_energy" localSheetId="5">#REF!</definedName>
    <definedName name="gs_energy" localSheetId="8">#REF!</definedName>
    <definedName name="gs_energy" localSheetId="1">#REF!</definedName>
    <definedName name="gs_energy" localSheetId="4">#REF!</definedName>
    <definedName name="gs_energy">#REF!</definedName>
    <definedName name="gsd_demand" localSheetId="2">#REF!</definedName>
    <definedName name="gsd_demand" localSheetId="5">#REF!</definedName>
    <definedName name="gsd_demand" localSheetId="8">#REF!</definedName>
    <definedName name="gsd_demand" localSheetId="1">#REF!</definedName>
    <definedName name="gsd_demand" localSheetId="4">#REF!</definedName>
    <definedName name="gsd_demand">#REF!</definedName>
    <definedName name="gsd_energy" localSheetId="2">#REF!</definedName>
    <definedName name="gsd_energy" localSheetId="5">#REF!</definedName>
    <definedName name="gsd_energy" localSheetId="8">#REF!</definedName>
    <definedName name="gsd_energy" localSheetId="1">#REF!</definedName>
    <definedName name="gsd_energy" localSheetId="4">#REF!</definedName>
    <definedName name="gsd_energy">#REF!</definedName>
    <definedName name="gsd1.present.cust.charge" localSheetId="9">#REF!</definedName>
    <definedName name="gsd1.present.cust.charge">#REF!</definedName>
    <definedName name="gsdlc_demand" localSheetId="2">#REF!</definedName>
    <definedName name="gsdlc_demand" localSheetId="5">#REF!</definedName>
    <definedName name="gsdlc_demand" localSheetId="8">#REF!</definedName>
    <definedName name="gsdlc_demand" localSheetId="1">#REF!</definedName>
    <definedName name="gsdlc_demand" localSheetId="4">#REF!</definedName>
    <definedName name="gsdlc_demand" localSheetId="9">#REF!</definedName>
    <definedName name="gsdlc_demand">#REF!</definedName>
    <definedName name="gsdlc_energy" localSheetId="2">#REF!</definedName>
    <definedName name="gsdlc_energy" localSheetId="5">#REF!</definedName>
    <definedName name="gsdlc_energy" localSheetId="8">#REF!</definedName>
    <definedName name="gsdlc_energy" localSheetId="1">#REF!</definedName>
    <definedName name="gsdlc_energy" localSheetId="4">#REF!</definedName>
    <definedName name="gsdlc_energy">#REF!</definedName>
    <definedName name="gsdr_demand" localSheetId="2">#REF!</definedName>
    <definedName name="gsdr_demand" localSheetId="5">#REF!</definedName>
    <definedName name="gsdr_demand" localSheetId="8">#REF!</definedName>
    <definedName name="gsdr_demand" localSheetId="1">#REF!</definedName>
    <definedName name="gsdr_demand" localSheetId="4">#REF!</definedName>
    <definedName name="gsdr_demand">#REF!</definedName>
    <definedName name="gsdr_energy" localSheetId="2">#REF!</definedName>
    <definedName name="gsdr_energy" localSheetId="5">#REF!</definedName>
    <definedName name="gsdr_energy" localSheetId="8">#REF!</definedName>
    <definedName name="gsdr_energy" localSheetId="1">#REF!</definedName>
    <definedName name="gsdr_energy" localSheetId="4">#REF!</definedName>
    <definedName name="gsdr_energy">#REF!</definedName>
    <definedName name="gsdt1_demand" localSheetId="2">#REF!</definedName>
    <definedName name="gsdt1_demand" localSheetId="5">#REF!</definedName>
    <definedName name="gsdt1_demand" localSheetId="8">#REF!</definedName>
    <definedName name="gsdt1_demand" localSheetId="1">#REF!</definedName>
    <definedName name="gsdt1_demand" localSheetId="4">#REF!</definedName>
    <definedName name="gsdt1_demand">#REF!</definedName>
    <definedName name="gsdt1_energy" localSheetId="2">#REF!</definedName>
    <definedName name="gsdt1_energy" localSheetId="5">#REF!</definedName>
    <definedName name="gsdt1_energy" localSheetId="8">#REF!</definedName>
    <definedName name="gsdt1_energy" localSheetId="1">#REF!</definedName>
    <definedName name="gsdt1_energy" localSheetId="4">#REF!</definedName>
    <definedName name="gsdt1_energy">#REF!</definedName>
    <definedName name="gsdt1_energy_offpeak" localSheetId="2">#REF!</definedName>
    <definedName name="gsdt1_energy_offpeak" localSheetId="5">#REF!</definedName>
    <definedName name="gsdt1_energy_offpeak" localSheetId="8">#REF!</definedName>
    <definedName name="gsdt1_energy_offpeak" localSheetId="1">#REF!</definedName>
    <definedName name="gsdt1_energy_offpeak" localSheetId="4">#REF!</definedName>
    <definedName name="gsdt1_energy_offpeak">#REF!</definedName>
    <definedName name="gslc_demand" localSheetId="2">#REF!</definedName>
    <definedName name="gslc_demand" localSheetId="5">#REF!</definedName>
    <definedName name="gslc_demand" localSheetId="8">#REF!</definedName>
    <definedName name="gslc_demand" localSheetId="1">#REF!</definedName>
    <definedName name="gslc_demand" localSheetId="4">#REF!</definedName>
    <definedName name="gslc_demand">#REF!</definedName>
    <definedName name="gslc_energy" localSheetId="2">#REF!</definedName>
    <definedName name="gslc_energy" localSheetId="5">#REF!</definedName>
    <definedName name="gslc_energy" localSheetId="8">#REF!</definedName>
    <definedName name="gslc_energy" localSheetId="1">#REF!</definedName>
    <definedName name="gslc_energy" localSheetId="4">#REF!</definedName>
    <definedName name="gslc_energy">#REF!</definedName>
    <definedName name="gslcr_demand" localSheetId="2">#REF!</definedName>
    <definedName name="gslcr_demand" localSheetId="5">#REF!</definedName>
    <definedName name="gslcr_demand" localSheetId="8">#REF!</definedName>
    <definedName name="gslcr_demand" localSheetId="1">#REF!</definedName>
    <definedName name="gslcr_demand" localSheetId="4">#REF!</definedName>
    <definedName name="gslcr_demand">#REF!</definedName>
    <definedName name="gslcr_energy" localSheetId="2">#REF!</definedName>
    <definedName name="gslcr_energy" localSheetId="5">#REF!</definedName>
    <definedName name="gslcr_energy" localSheetId="8">#REF!</definedName>
    <definedName name="gslcr_energy" localSheetId="1">#REF!</definedName>
    <definedName name="gslcr_energy" localSheetId="4">#REF!</definedName>
    <definedName name="gslcr_energy">#REF!</definedName>
    <definedName name="gsld_demand" localSheetId="2">#REF!</definedName>
    <definedName name="gsld_demand" localSheetId="5">#REF!</definedName>
    <definedName name="gsld_demand" localSheetId="8">#REF!</definedName>
    <definedName name="gsld_demand" localSheetId="1">#REF!</definedName>
    <definedName name="gsld_demand" localSheetId="4">#REF!</definedName>
    <definedName name="gsld_demand">#REF!</definedName>
    <definedName name="gsld_energy" localSheetId="2">#REF!</definedName>
    <definedName name="gsld_energy" localSheetId="5">#REF!</definedName>
    <definedName name="gsld_energy" localSheetId="8">#REF!</definedName>
    <definedName name="gsld_energy" localSheetId="1">#REF!</definedName>
    <definedName name="gsld_energy" localSheetId="4">#REF!</definedName>
    <definedName name="gsld_energy">#REF!</definedName>
    <definedName name="gsld1_demand" localSheetId="2">#REF!</definedName>
    <definedName name="gsld1_demand" localSheetId="5">#REF!</definedName>
    <definedName name="gsld1_demand" localSheetId="8">#REF!</definedName>
    <definedName name="gsld1_demand" localSheetId="1">#REF!</definedName>
    <definedName name="gsld1_demand" localSheetId="4">#REF!</definedName>
    <definedName name="gsld1_demand">#REF!</definedName>
    <definedName name="gsld1_energy" localSheetId="2">#REF!</definedName>
    <definedName name="gsld1_energy" localSheetId="5">#REF!</definedName>
    <definedName name="gsld1_energy" localSheetId="8">#REF!</definedName>
    <definedName name="gsld1_energy" localSheetId="1">#REF!</definedName>
    <definedName name="gsld1_energy" localSheetId="4">#REF!</definedName>
    <definedName name="gsld1_energy">#REF!</definedName>
    <definedName name="gsld1r_demand" localSheetId="2">#REF!</definedName>
    <definedName name="gsld1r_demand" localSheetId="5">#REF!</definedName>
    <definedName name="gsld1r_demand" localSheetId="8">#REF!</definedName>
    <definedName name="gsld1r_demand" localSheetId="1">#REF!</definedName>
    <definedName name="gsld1r_demand" localSheetId="4">#REF!</definedName>
    <definedName name="gsld1r_demand">#REF!</definedName>
    <definedName name="gsld1r_energy" localSheetId="2">#REF!</definedName>
    <definedName name="gsld1r_energy" localSheetId="5">#REF!</definedName>
    <definedName name="gsld1r_energy" localSheetId="8">#REF!</definedName>
    <definedName name="gsld1r_energy" localSheetId="1">#REF!</definedName>
    <definedName name="gsld1r_energy" localSheetId="4">#REF!</definedName>
    <definedName name="gsld1r_energy">#REF!</definedName>
    <definedName name="gsld2_demand" localSheetId="2">#REF!</definedName>
    <definedName name="gsld2_demand" localSheetId="5">#REF!</definedName>
    <definedName name="gsld2_demand" localSheetId="8">#REF!</definedName>
    <definedName name="gsld2_demand" localSheetId="1">#REF!</definedName>
    <definedName name="gsld2_demand" localSheetId="4">#REF!</definedName>
    <definedName name="gsld2_demand">#REF!</definedName>
    <definedName name="gsld2_energy" localSheetId="2">#REF!</definedName>
    <definedName name="gsld2_energy" localSheetId="5">#REF!</definedName>
    <definedName name="gsld2_energy" localSheetId="8">#REF!</definedName>
    <definedName name="gsld2_energy" localSheetId="1">#REF!</definedName>
    <definedName name="gsld2_energy" localSheetId="4">#REF!</definedName>
    <definedName name="gsld2_energy">#REF!</definedName>
    <definedName name="gsld3_demand" localSheetId="2">#REF!</definedName>
    <definedName name="gsld3_demand" localSheetId="5">#REF!</definedName>
    <definedName name="gsld3_demand" localSheetId="8">#REF!</definedName>
    <definedName name="gsld3_demand" localSheetId="1">#REF!</definedName>
    <definedName name="gsld3_demand" localSheetId="4">#REF!</definedName>
    <definedName name="gsld3_demand">#REF!</definedName>
    <definedName name="gsld3_energy" localSheetId="2">#REF!</definedName>
    <definedName name="gsld3_energy" localSheetId="5">#REF!</definedName>
    <definedName name="gsld3_energy" localSheetId="8">#REF!</definedName>
    <definedName name="gsld3_energy" localSheetId="1">#REF!</definedName>
    <definedName name="gsld3_energy" localSheetId="4">#REF!</definedName>
    <definedName name="gsld3_energy">#REF!</definedName>
    <definedName name="gsldr_demand" localSheetId="2">#REF!</definedName>
    <definedName name="gsldr_demand" localSheetId="5">#REF!</definedName>
    <definedName name="gsldr_demand" localSheetId="8">#REF!</definedName>
    <definedName name="gsldr_demand" localSheetId="1">#REF!</definedName>
    <definedName name="gsldr_demand" localSheetId="4">#REF!</definedName>
    <definedName name="gsldr_demand">#REF!</definedName>
    <definedName name="gsldr_energy" localSheetId="2">#REF!</definedName>
    <definedName name="gsldr_energy" localSheetId="5">#REF!</definedName>
    <definedName name="gsldr_energy" localSheetId="8">#REF!</definedName>
    <definedName name="gsldr_energy" localSheetId="1">#REF!</definedName>
    <definedName name="gsldr_energy" localSheetId="4">#REF!</definedName>
    <definedName name="gsldr_energy">#REF!</definedName>
    <definedName name="gsldt1_demand" localSheetId="2">#REF!</definedName>
    <definedName name="gsldt1_demand" localSheetId="5">#REF!</definedName>
    <definedName name="gsldt1_demand" localSheetId="8">#REF!</definedName>
    <definedName name="gsldt1_demand" localSheetId="1">#REF!</definedName>
    <definedName name="gsldt1_demand" localSheetId="4">#REF!</definedName>
    <definedName name="gsldt1_demand">#REF!</definedName>
    <definedName name="gsldt1_energy" localSheetId="2">#REF!</definedName>
    <definedName name="gsldt1_energy" localSheetId="5">#REF!</definedName>
    <definedName name="gsldt1_energy" localSheetId="8">#REF!</definedName>
    <definedName name="gsldt1_energy" localSheetId="1">#REF!</definedName>
    <definedName name="gsldt1_energy" localSheetId="4">#REF!</definedName>
    <definedName name="gsldt1_energy">#REF!</definedName>
    <definedName name="gsldt1_energy_offpeak" localSheetId="2">#REF!</definedName>
    <definedName name="gsldt1_energy_offpeak" localSheetId="5">#REF!</definedName>
    <definedName name="gsldt1_energy_offpeak" localSheetId="8">#REF!</definedName>
    <definedName name="gsldt1_energy_offpeak" localSheetId="1">#REF!</definedName>
    <definedName name="gsldt1_energy_offpeak" localSheetId="4">#REF!</definedName>
    <definedName name="gsldt1_energy_offpeak">#REF!</definedName>
    <definedName name="gsldt2_demand" localSheetId="2">#REF!</definedName>
    <definedName name="gsldt2_demand" localSheetId="5">#REF!</definedName>
    <definedName name="gsldt2_demand" localSheetId="8">#REF!</definedName>
    <definedName name="gsldt2_demand" localSheetId="1">#REF!</definedName>
    <definedName name="gsldt2_demand" localSheetId="4">#REF!</definedName>
    <definedName name="gsldt2_demand">#REF!</definedName>
    <definedName name="gsldt2_energy" localSheetId="2">#REF!</definedName>
    <definedName name="gsldt2_energy" localSheetId="5">#REF!</definedName>
    <definedName name="gsldt2_energy" localSheetId="8">#REF!</definedName>
    <definedName name="gsldt2_energy" localSheetId="1">#REF!</definedName>
    <definedName name="gsldt2_energy" localSheetId="4">#REF!</definedName>
    <definedName name="gsldt2_energy">#REF!</definedName>
    <definedName name="gsldt2_energy_offpeak" localSheetId="2">#REF!</definedName>
    <definedName name="gsldt2_energy_offpeak" localSheetId="5">#REF!</definedName>
    <definedName name="gsldt2_energy_offpeak" localSheetId="8">#REF!</definedName>
    <definedName name="gsldt2_energy_offpeak" localSheetId="1">#REF!</definedName>
    <definedName name="gsldt2_energy_offpeak" localSheetId="4">#REF!</definedName>
    <definedName name="gsldt2_energy_offpeak">#REF!</definedName>
    <definedName name="gsldt3_demand" localSheetId="2">#REF!</definedName>
    <definedName name="gsldt3_demand" localSheetId="5">#REF!</definedName>
    <definedName name="gsldt3_demand" localSheetId="8">#REF!</definedName>
    <definedName name="gsldt3_demand" localSheetId="1">#REF!</definedName>
    <definedName name="gsldt3_demand" localSheetId="4">#REF!</definedName>
    <definedName name="gsldt3_demand">#REF!</definedName>
    <definedName name="gsldt3_energy" localSheetId="2">#REF!</definedName>
    <definedName name="gsldt3_energy" localSheetId="5">#REF!</definedName>
    <definedName name="gsldt3_energy" localSheetId="8">#REF!</definedName>
    <definedName name="gsldt3_energy" localSheetId="1">#REF!</definedName>
    <definedName name="gsldt3_energy" localSheetId="4">#REF!</definedName>
    <definedName name="gsldt3_energy">#REF!</definedName>
    <definedName name="gsldt3_energy_offpeak" localSheetId="2">#REF!</definedName>
    <definedName name="gsldt3_energy_offpeak" localSheetId="5">#REF!</definedName>
    <definedName name="gsldt3_energy_offpeak" localSheetId="8">#REF!</definedName>
    <definedName name="gsldt3_energy_offpeak" localSheetId="1">#REF!</definedName>
    <definedName name="gsldt3_energy_offpeak" localSheetId="4">#REF!</definedName>
    <definedName name="gsldt3_energy_offpeak">#REF!</definedName>
    <definedName name="gsr_demand" localSheetId="2">#REF!</definedName>
    <definedName name="gsr_demand" localSheetId="5">#REF!</definedName>
    <definedName name="gsr_demand" localSheetId="8">#REF!</definedName>
    <definedName name="gsr_demand" localSheetId="1">#REF!</definedName>
    <definedName name="gsr_demand" localSheetId="4">#REF!</definedName>
    <definedName name="gsr_demand">#REF!</definedName>
    <definedName name="gsr_energy" localSheetId="2">#REF!</definedName>
    <definedName name="gsr_energy" localSheetId="5">#REF!</definedName>
    <definedName name="gsr_energy" localSheetId="8">#REF!</definedName>
    <definedName name="gsr_energy" localSheetId="1">#REF!</definedName>
    <definedName name="gsr_energy" localSheetId="4">#REF!</definedName>
    <definedName name="gsr_energy">#REF!</definedName>
    <definedName name="GUY" localSheetId="9">#REF!</definedName>
    <definedName name="GUY">#REF!</definedName>
    <definedName name="Heatrate" localSheetId="2">#REF!</definedName>
    <definedName name="Heatrate" localSheetId="5">#REF!</definedName>
    <definedName name="Heatrate" localSheetId="8">#REF!</definedName>
    <definedName name="Heatrate" localSheetId="1">#REF!</definedName>
    <definedName name="Heatrate" localSheetId="4">#REF!</definedName>
    <definedName name="Heatrate" localSheetId="9">#REF!</definedName>
    <definedName name="Heatrate">#REF!</definedName>
    <definedName name="hg" localSheetId="2" hidden="1">{#N/A,#N/A,FALSE,"MARKET"}</definedName>
    <definedName name="hg" localSheetId="8" hidden="1">{#N/A,#N/A,FALSE,"MARKET"}</definedName>
    <definedName name="hg" localSheetId="9" hidden="1">{#N/A,#N/A,FALSE,"MARKET"}</definedName>
    <definedName name="hg" hidden="1">{#N/A,#N/A,FALSE,"MARKET"}</definedName>
    <definedName name="hg_1" localSheetId="2" hidden="1">{#N/A,#N/A,FALSE,"MARKET"}</definedName>
    <definedName name="hg_1" localSheetId="8" hidden="1">{#N/A,#N/A,FALSE,"MARKET"}</definedName>
    <definedName name="hg_1" localSheetId="9" hidden="1">{#N/A,#N/A,FALSE,"MARKET"}</definedName>
    <definedName name="hg_1" hidden="1">{#N/A,#N/A,FALSE,"MARKET"}</definedName>
    <definedName name="HG_rate" localSheetId="2">#REF!</definedName>
    <definedName name="HG_rate" localSheetId="5">#REF!</definedName>
    <definedName name="HG_rate" localSheetId="8">#REF!</definedName>
    <definedName name="HG_rate" localSheetId="1">#REF!</definedName>
    <definedName name="HG_rate" localSheetId="4">#REF!</definedName>
    <definedName name="HG_rate" localSheetId="9">#REF!</definedName>
    <definedName name="HG_rate">#REF!</definedName>
    <definedName name="high" localSheetId="2" hidden="1">{#N/A,#N/A,TRUE,"TOTAL DSBN";#N/A,#N/A,TRUE,"WEST";#N/A,#N/A,TRUE,"SOUTH";#N/A,#N/A,TRUE,"NORTHEAST"}</definedName>
    <definedName name="high" localSheetId="8" hidden="1">{#N/A,#N/A,TRUE,"TOTAL DSBN";#N/A,#N/A,TRUE,"WEST";#N/A,#N/A,TRUE,"SOUTH";#N/A,#N/A,TRUE,"NORTHEAST"}</definedName>
    <definedName name="high" localSheetId="9" hidden="1">{#N/A,#N/A,TRUE,"TOTAL DSBN";#N/A,#N/A,TRUE,"WEST";#N/A,#N/A,TRUE,"SOUTH";#N/A,#N/A,TRUE,"NORTHEAST"}</definedName>
    <definedName name="high" hidden="1">{#N/A,#N/A,TRUE,"TOTAL DSBN";#N/A,#N/A,TRUE,"WEST";#N/A,#N/A,TRUE,"SOUTH";#N/A,#N/A,TRUE,"NORTHEAST"}</definedName>
    <definedName name="HighSum" localSheetId="2" hidden="1">{#N/A,#N/A,TRUE,"TOTAL DISTRIBUTION";#N/A,#N/A,TRUE,"SOUTH";#N/A,#N/A,TRUE,"NORTHEAST";#N/A,#N/A,TRUE,"WEST"}</definedName>
    <definedName name="HighSum" localSheetId="8" hidden="1">{#N/A,#N/A,TRUE,"TOTAL DISTRIBUTION";#N/A,#N/A,TRUE,"SOUTH";#N/A,#N/A,TRUE,"NORTHEAST";#N/A,#N/A,TRUE,"WEST"}</definedName>
    <definedName name="HighSum" localSheetId="9" hidden="1">{#N/A,#N/A,TRUE,"TOTAL DISTRIBUTION";#N/A,#N/A,TRUE,"SOUTH";#N/A,#N/A,TRUE,"NORTHEAST";#N/A,#N/A,TRUE,"WEST"}</definedName>
    <definedName name="HighSum" hidden="1">{#N/A,#N/A,TRUE,"TOTAL DISTRIBUTION";#N/A,#N/A,TRUE,"SOUTH";#N/A,#N/A,TRUE,"NORTHEAST";#N/A,#N/A,TRUE,"WEST"}</definedName>
    <definedName name="HISTORICAL_YEAR_DATE">#REF!</definedName>
    <definedName name="HISTORICAL_YEAR_X">#REF!</definedName>
    <definedName name="HISTORY" localSheetId="9">#REF!</definedName>
    <definedName name="HISTORY">#REF!</definedName>
    <definedName name="ID_sorted" localSheetId="9">#REF!</definedName>
    <definedName name="ID_sorted">#REF!</definedName>
    <definedName name="idontknow" localSheetId="2" hidden="1">{"EXCELHLP.HLP!1802";5;10;5;10;13;13;13;8;5;5;10;14;13;13;13;13;5;10;14;13;5;10;1;2;24}</definedName>
    <definedName name="idontknow" localSheetId="8" hidden="1">{"EXCELHLP.HLP!1802";5;10;5;10;13;13;13;8;5;5;10;14;13;13;13;13;5;10;14;13;5;10;1;2;24}</definedName>
    <definedName name="idontknow" localSheetId="9" hidden="1">{"EXCELHLP.HLP!1802";5;10;5;10;13;13;13;8;5;5;10;14;13;13;13;13;5;10;14;13;5;10;1;2;24}</definedName>
    <definedName name="idontknow" hidden="1">{"EXCELHLP.HLP!1802";5;10;5;10;13;13;13;8;5;5;10;14;13;13;13;13;5;10;14;13;5;10;1;2;24}</definedName>
    <definedName name="IMPACT" localSheetId="9">#REF!</definedName>
    <definedName name="IMPACT">#REF!</definedName>
    <definedName name="Incremental_Accounts" localSheetId="9">#REF!</definedName>
    <definedName name="Incremental_Accounts">#REF!</definedName>
    <definedName name="Incremental_kW_GEN" localSheetId="9">#REF!</definedName>
    <definedName name="Incremental_kW_GEN">#REF!</definedName>
    <definedName name="INCSTA" localSheetId="9">#REF!</definedName>
    <definedName name="INCSTA">#REF!</definedName>
    <definedName name="IND" localSheetId="9">#REF!</definedName>
    <definedName name="IND">#REF!</definedName>
    <definedName name="industry_proxy" localSheetId="9">#REF!</definedName>
    <definedName name="industry_proxy">#REF!</definedName>
    <definedName name="INPUT5" localSheetId="9">#REF!</definedName>
    <definedName name="INPUT5">#REF!</definedName>
    <definedName name="interest_rate" localSheetId="2">#REF!</definedName>
    <definedName name="interest_rate" localSheetId="5">#REF!</definedName>
    <definedName name="interest_rate" localSheetId="8">#REF!</definedName>
    <definedName name="interest_rate" localSheetId="1">#REF!</definedName>
    <definedName name="interest_rate" localSheetId="4">#REF!</definedName>
    <definedName name="interest_rate" localSheetId="9">#REF!</definedName>
    <definedName name="interest_rate">#REF!</definedName>
    <definedName name="jcpl_offset" localSheetId="9">#REF!</definedName>
    <definedName name="jcpl_offset">#REF!</definedName>
    <definedName name="jpg" localSheetId="2" hidden="1">{"detail305",#N/A,FALSE,"BI-305"}</definedName>
    <definedName name="jpg" localSheetId="5" hidden="1">{"detail305",#N/A,FALSE,"BI-305"}</definedName>
    <definedName name="jpg" localSheetId="7" hidden="1">{"detail305",#N/A,FALSE,"BI-305"}</definedName>
    <definedName name="jpg" localSheetId="8" hidden="1">{"detail305",#N/A,FALSE,"BI-305"}</definedName>
    <definedName name="jpg" localSheetId="1" hidden="1">{"detail305",#N/A,FALSE,"BI-305"}</definedName>
    <definedName name="jpg" localSheetId="4" hidden="1">{"detail305",#N/A,FALSE,"BI-305"}</definedName>
    <definedName name="jpg" localSheetId="6" hidden="1">{"detail305",#N/A,FALSE,"BI-305"}</definedName>
    <definedName name="jpg" localSheetId="9" hidden="1">{"detail305",#N/A,FALSE,"BI-305"}</definedName>
    <definedName name="jpg" hidden="1">{"detail305",#N/A,FALSE,"BI-305"}</definedName>
    <definedName name="keys">#REF!</definedName>
    <definedName name="khjn" localSheetId="5" hidden="1">#REF!</definedName>
    <definedName name="khjn" localSheetId="8" hidden="1">#REF!</definedName>
    <definedName name="khjn" localSheetId="4" hidden="1">#REF!</definedName>
    <definedName name="khjn" localSheetId="9" hidden="1">#REF!</definedName>
    <definedName name="khjn" hidden="1">#REF!</definedName>
    <definedName name="KL" localSheetId="2" hidden="1">{"summary",#N/A,FALSE,"PCR DIRECTORY"}</definedName>
    <definedName name="KL" localSheetId="8" hidden="1">{"summary",#N/A,FALSE,"PCR DIRECTORY"}</definedName>
    <definedName name="KL" localSheetId="9" hidden="1">{"summary",#N/A,FALSE,"PCR DIRECTORY"}</definedName>
    <definedName name="KL" hidden="1">{"summary",#N/A,FALSE,"PCR DIRECTORY"}</definedName>
    <definedName name="KWH_Data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 localSheetId="2">#REF!</definedName>
    <definedName name="LFKWH" localSheetId="5">#REF!</definedName>
    <definedName name="LFKWH" localSheetId="8">#REF!</definedName>
    <definedName name="LFKWH" localSheetId="1">#REF!</definedName>
    <definedName name="LFKWH" localSheetId="4">#REF!</definedName>
    <definedName name="LFKWH">#REF!</definedName>
    <definedName name="lfkwh1" localSheetId="2">#REF!</definedName>
    <definedName name="lfkwh1" localSheetId="5">#REF!</definedName>
    <definedName name="lfkwh1" localSheetId="8">#REF!</definedName>
    <definedName name="lfkwh1" localSheetId="1">#REF!</definedName>
    <definedName name="lfkwh1" localSheetId="4">#REF!</definedName>
    <definedName name="lfkwh1">#REF!</definedName>
    <definedName name="LRIC12" localSheetId="9">#REF!</definedName>
    <definedName name="LRIC12">#REF!</definedName>
    <definedName name="LRICA" localSheetId="9">#REF!</definedName>
    <definedName name="LRICA">#REF!</definedName>
    <definedName name="LRICY" localSheetId="9">#REF!</definedName>
    <definedName name="LRICY">#REF!</definedName>
    <definedName name="LRICYTD" localSheetId="9">#REF!</definedName>
    <definedName name="LRICYTD">#REF!</definedName>
    <definedName name="m" localSheetId="2">#REF!</definedName>
    <definedName name="m" localSheetId="5">#REF!</definedName>
    <definedName name="m" localSheetId="8">#REF!</definedName>
    <definedName name="m" localSheetId="1">#REF!</definedName>
    <definedName name="m" localSheetId="4">#REF!</definedName>
    <definedName name="m" localSheetId="9">#REF!</definedName>
    <definedName name="m">#REF!</definedName>
    <definedName name="MACRO" localSheetId="9">#REF!</definedName>
    <definedName name="MACRO">#REF!</definedName>
    <definedName name="MACROS" localSheetId="9">#REF!</definedName>
    <definedName name="MACROS">#REF!</definedName>
    <definedName name="MARY" localSheetId="2" hidden="1">{#N/A,#N/A,TRUE,"TOTAL DISTRIBUTION";#N/A,#N/A,TRUE,"SOUTH";#N/A,#N/A,TRUE,"NORTHEAST";#N/A,#N/A,TRUE,"WEST"}</definedName>
    <definedName name="MARY" localSheetId="8" hidden="1">{#N/A,#N/A,TRUE,"TOTAL DISTRIBUTION";#N/A,#N/A,TRUE,"SOUTH";#N/A,#N/A,TRUE,"NORTHEAST";#N/A,#N/A,TRUE,"WEST"}</definedName>
    <definedName name="MARY" localSheetId="9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MH" localSheetId="5">#REF!</definedName>
    <definedName name="MH" localSheetId="4">#REF!</definedName>
    <definedName name="MH">#REF!</definedName>
    <definedName name="MIKE" localSheetId="2" hidden="1">{"detail305",#N/A,FALSE,"BI-305"}</definedName>
    <definedName name="MIKE" localSheetId="5" hidden="1">{"detail305",#N/A,FALSE,"BI-305"}</definedName>
    <definedName name="MIKE" localSheetId="7" hidden="1">{"detail305",#N/A,FALSE,"BI-305"}</definedName>
    <definedName name="MIKE" localSheetId="8" hidden="1">{"detail305",#N/A,FALSE,"BI-305"}</definedName>
    <definedName name="MIKE" localSheetId="1" hidden="1">{"detail305",#N/A,FALSE,"BI-305"}</definedName>
    <definedName name="MIKE" localSheetId="4" hidden="1">{"detail305",#N/A,FALSE,"BI-305"}</definedName>
    <definedName name="MIKE" localSheetId="6" hidden="1">{"detail305",#N/A,FALSE,"BI-305"}</definedName>
    <definedName name="MIKE" localSheetId="9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NA" localSheetId="2" hidden="1">{#N/A,#N/A,FALSE,"Expenses";#N/A,#N/A,FALSE,"Revenue"}</definedName>
    <definedName name="NA" localSheetId="8" hidden="1">{#N/A,#N/A,FALSE,"Expenses";#N/A,#N/A,FALSE,"Revenue"}</definedName>
    <definedName name="NA" localSheetId="9" hidden="1">{#N/A,#N/A,FALSE,"Expenses";#N/A,#N/A,FALSE,"Revenue"}</definedName>
    <definedName name="NA" hidden="1">{#N/A,#N/A,FALSE,"Expenses";#N/A,#N/A,FALSE,"Revenue"}</definedName>
    <definedName name="nada" localSheetId="2" hidden="1">{2;#N/A;"R13C16:R17C16";#N/A;"R13C14:R17C15";FALSE;FALSE;FALSE;95;#N/A;#N/A;"R13C19";#N/A;FALSE;FALSE;FALSE;FALSE;#N/A;"";#N/A;FALSE;"";"";#N/A;#N/A;#N/A}</definedName>
    <definedName name="nada" localSheetId="8" hidden="1">{2;#N/A;"R13C16:R17C16";#N/A;"R13C14:R17C15";FALSE;FALSE;FALSE;95;#N/A;#N/A;"R13C19";#N/A;FALSE;FALSE;FALSE;FALSE;#N/A;"";#N/A;FALSE;"";"";#N/A;#N/A;#N/A}</definedName>
    <definedName name="nada" localSheetId="9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ada_1" localSheetId="2" hidden="1">{2;#N/A;"R13C16:R17C16";#N/A;"R13C14:R17C15";FALSE;FALSE;FALSE;95;#N/A;#N/A;"R13C19";#N/A;FALSE;FALSE;FALSE;FALSE;#N/A;"";#N/A;FALSE;"";"";#N/A;#N/A;#N/A}</definedName>
    <definedName name="nada_1" localSheetId="8" hidden="1">{2;#N/A;"R13C16:R17C16";#N/A;"R13C14:R17C15";FALSE;FALSE;FALSE;95;#N/A;#N/A;"R13C19";#N/A;FALSE;FALSE;FALSE;FALSE;#N/A;"";#N/A;FALSE;"";"";#N/A;#N/A;#N/A}</definedName>
    <definedName name="nada_1" localSheetId="9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me" localSheetId="2">#REF!</definedName>
    <definedName name="Name" localSheetId="5">#REF!</definedName>
    <definedName name="Name" localSheetId="8">#REF!</definedName>
    <definedName name="Name" localSheetId="1">#REF!</definedName>
    <definedName name="Name" localSheetId="4">#REF!</definedName>
    <definedName name="Name" localSheetId="9">#REF!</definedName>
    <definedName name="Name">#REF!</definedName>
    <definedName name="NC" localSheetId="5">#REF!</definedName>
    <definedName name="NC" localSheetId="4">#REF!</definedName>
    <definedName name="NC">#REF!</definedName>
    <definedName name="ndsa" localSheetId="2" hidden="1">{#N/A,#N/A,FALSE,"1";#N/A,#N/A,FALSE,"2";#N/A,#N/A,FALSE,"3"}</definedName>
    <definedName name="ndsa" localSheetId="5" hidden="1">{#N/A,#N/A,FALSE,"1";#N/A,#N/A,FALSE,"2";#N/A,#N/A,FALSE,"3"}</definedName>
    <definedName name="ndsa" localSheetId="7" hidden="1">{#N/A,#N/A,FALSE,"1";#N/A,#N/A,FALSE,"2";#N/A,#N/A,FALSE,"3"}</definedName>
    <definedName name="ndsa" localSheetId="8" hidden="1">{#N/A,#N/A,FALSE,"1";#N/A,#N/A,FALSE,"2";#N/A,#N/A,FALSE,"3"}</definedName>
    <definedName name="ndsa" localSheetId="1" hidden="1">{#N/A,#N/A,FALSE,"1";#N/A,#N/A,FALSE,"2";#N/A,#N/A,FALSE,"3"}</definedName>
    <definedName name="ndsa" localSheetId="6" hidden="1">{#N/A,#N/A,FALSE,"1";#N/A,#N/A,FALSE,"2";#N/A,#N/A,FALSE,"3"}</definedName>
    <definedName name="ndsa" localSheetId="9" hidden="1">{#N/A,#N/A,FALSE,"1";#N/A,#N/A,FALSE,"2";#N/A,#N/A,FALSE,"3"}</definedName>
    <definedName name="ndsa" hidden="1">{#N/A,#N/A,FALSE,"1";#N/A,#N/A,FALSE,"2";#N/A,#N/A,FALSE,"3"}</definedName>
    <definedName name="Net_Generation">#REF!</definedName>
    <definedName name="Net_Income">#REF!</definedName>
    <definedName name="New_DSO1" localSheetId="2" hidden="1">{#N/A,#N/A,FALSE,"Cover";"NI_Mon.Qtr.YTD",#N/A,FALSE,"Net Income";"Earnings_Month.Qtr.YTD",#N/A,FALSE,"Earnings";#N/A,#N/A,FALSE,"Indicators"}</definedName>
    <definedName name="New_DSO1" localSheetId="5" hidden="1">{#N/A,#N/A,FALSE,"Cover";"NI_Mon.Qtr.YTD",#N/A,FALSE,"Net Income";"Earnings_Month.Qtr.YTD",#N/A,FALSE,"Earnings";#N/A,#N/A,FALSE,"Indicators"}</definedName>
    <definedName name="New_DSO1" localSheetId="7" hidden="1">{#N/A,#N/A,FALSE,"Cover";"NI_Mon.Qtr.YTD",#N/A,FALSE,"Net Income";"Earnings_Month.Qtr.YTD",#N/A,FALSE,"Earnings";#N/A,#N/A,FALSE,"Indicators"}</definedName>
    <definedName name="New_DSO1" localSheetId="8" hidden="1">{#N/A,#N/A,FALSE,"Cover";"NI_Mon.Qtr.YTD",#N/A,FALSE,"Net Income";"Earnings_Month.Qtr.YTD",#N/A,FALSE,"Earnings";#N/A,#N/A,FALSE,"Indicators"}</definedName>
    <definedName name="New_DSO1" localSheetId="1" hidden="1">{#N/A,#N/A,FALSE,"Cover";"NI_Mon.Qtr.YTD",#N/A,FALSE,"Net Income";"Earnings_Month.Qtr.YTD",#N/A,FALSE,"Earnings";#N/A,#N/A,FALSE,"Indicators"}</definedName>
    <definedName name="New_DSO1" localSheetId="6" hidden="1">{#N/A,#N/A,FALSE,"Cover";"NI_Mon.Qtr.YTD",#N/A,FALSE,"Net Income";"Earnings_Month.Qtr.YTD",#N/A,FALSE,"Earnings";#N/A,#N/A,FALSE,"Indicators"}</definedName>
    <definedName name="New_DSO1" localSheetId="9" hidden="1">{#N/A,#N/A,FALSE,"Cover";"NI_Mon.Qtr.YTD",#N/A,FALSE,"Net Income";"Earnings_Month.Qtr.YTD",#N/A,FALSE,"Earnings";#N/A,#N/A,FALSE,"Indicators"}</definedName>
    <definedName name="New_DSO1" hidden="1">{#N/A,#N/A,FALSE,"Cover";"NI_Mon.Qtr.YTD",#N/A,FALSE,"Net Income";"Earnings_Month.Qtr.YTD",#N/A,FALSE,"Earnings";#N/A,#N/A,FALSE,"Indicators"}</definedName>
    <definedName name="NewName" localSheetId="2" hidden="1">{"Assumptions",#N/A,FALSE,"Sheet1";"Main Report",#N/A,FALSE,"Sheet1";"Results",#N/A,FALSE,"Sheet1";"Advances",#N/A,FALSE,"Sheet1"}</definedName>
    <definedName name="NewName" localSheetId="8" hidden="1">{"Assumptions",#N/A,FALSE,"Sheet1";"Main Report",#N/A,FALSE,"Sheet1";"Results",#N/A,FALSE,"Sheet1";"Advances",#N/A,FALSE,"Sheet1"}</definedName>
    <definedName name="NewName" localSheetId="9" hidden="1">{"Assumptions",#N/A,FALSE,"Sheet1";"Main Report",#N/A,FALSE,"Sheet1";"Results",#N/A,FALSE,"Sheet1";"Advances",#N/A,FALSE,"Sheet1"}</definedName>
    <definedName name="NewName" hidden="1">{"Assumptions",#N/A,FALSE,"Sheet1";"Main Report",#N/A,FALSE,"Sheet1";"Results",#N/A,FALSE,"Sheet1";"Advances",#N/A,FALSE,"Sheet1"}</definedName>
    <definedName name="NewName_1" localSheetId="2" hidden="1">{"Assumptions",#N/A,FALSE,"Sheet1";"Main Report",#N/A,FALSE,"Sheet1";"Results",#N/A,FALSE,"Sheet1";"Advances",#N/A,FALSE,"Sheet1"}</definedName>
    <definedName name="NewName_1" localSheetId="8" hidden="1">{"Assumptions",#N/A,FALSE,"Sheet1";"Main Report",#N/A,FALSE,"Sheet1";"Results",#N/A,FALSE,"Sheet1";"Advances",#N/A,FALSE,"Sheet1"}</definedName>
    <definedName name="NewName_1" localSheetId="9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ne" localSheetId="2" hidden="1">{#N/A,#N/A,TRUE,"TOTAL DISTRIBUTION";#N/A,#N/A,TRUE,"SOUTH";#N/A,#N/A,TRUE,"NORTHEAST";#N/A,#N/A,TRUE,"WEST"}</definedName>
    <definedName name="none" localSheetId="8" hidden="1">{#N/A,#N/A,TRUE,"TOTAL DISTRIBUTION";#N/A,#N/A,TRUE,"SOUTH";#N/A,#N/A,TRUE,"NORTHEAST";#N/A,#N/A,TRUE,"WEST"}</definedName>
    <definedName name="none" localSheetId="9" hidden="1">{#N/A,#N/A,TRUE,"TOTAL DISTRIBUTION";#N/A,#N/A,TRUE,"SOUTH";#N/A,#N/A,TRUE,"NORTHEAST";#N/A,#N/A,TRUE,"WEST"}</definedName>
    <definedName name="none" hidden="1">{#N/A,#N/A,TRUE,"TOTAL DISTRIBUTION";#N/A,#N/A,TRUE,"SOUTH";#N/A,#N/A,TRUE,"NORTHEAST";#N/A,#N/A,TRUE,"WEST"}</definedName>
    <definedName name="NORTH" localSheetId="9">#REF!</definedName>
    <definedName name="NORTH">#REF!</definedName>
    <definedName name="North_Central" localSheetId="5">#REF!</definedName>
    <definedName name="North_Central" localSheetId="4">#REF!</definedName>
    <definedName name="North_Central">#REF!</definedName>
    <definedName name="North_Cl" localSheetId="5">#REF!</definedName>
    <definedName name="North_Cl" localSheetId="4">#REF!</definedName>
    <definedName name="North_Cl">#REF!</definedName>
    <definedName name="Northern" localSheetId="5">#REF!</definedName>
    <definedName name="Northern" localSheetId="4">#REF!</definedName>
    <definedName name="Northern">#REF!</definedName>
    <definedName name="NOx_rate" localSheetId="2">#REF!</definedName>
    <definedName name="NOx_rate" localSheetId="5">#REF!</definedName>
    <definedName name="NOx_rate" localSheetId="8">#REF!</definedName>
    <definedName name="NOx_rate" localSheetId="1">#REF!</definedName>
    <definedName name="NOx_rate" localSheetId="4">#REF!</definedName>
    <definedName name="NOx_rate" localSheetId="9">#REF!</definedName>
    <definedName name="NOx_rate">#REF!</definedName>
    <definedName name="OBC" localSheetId="2">#REF!</definedName>
    <definedName name="OBC" localSheetId="5">#REF!</definedName>
    <definedName name="OBC" localSheetId="8">#REF!</definedName>
    <definedName name="OBC" localSheetId="1">#REF!</definedName>
    <definedName name="OBC" localSheetId="4">#REF!</definedName>
    <definedName name="OBC">#REF!</definedName>
    <definedName name="OBO" localSheetId="9">#REF!</definedName>
    <definedName name="OBO">#REF!</definedName>
    <definedName name="OBODEFTX" localSheetId="9">#REF!</definedName>
    <definedName name="OBODEFTX">#REF!</definedName>
    <definedName name="OFF" localSheetId="2">#REF!</definedName>
    <definedName name="OFF" localSheetId="5">#REF!</definedName>
    <definedName name="OFF" localSheetId="8">#REF!</definedName>
    <definedName name="OFF" localSheetId="1">#REF!</definedName>
    <definedName name="OFF" localSheetId="4">#REF!</definedName>
    <definedName name="OFF" localSheetId="9">#REF!</definedName>
    <definedName name="OFF">#REF!</definedName>
    <definedName name="Offpeak_hours" localSheetId="9">#REF!</definedName>
    <definedName name="Offpeak_hours">#REF!</definedName>
    <definedName name="OldDblClickSetting">#REF!</definedName>
    <definedName name="OldOptions">#REF!</definedName>
    <definedName name="OldRMouseSetting">#REF!</definedName>
    <definedName name="OM_Esc" localSheetId="2">#REF!</definedName>
    <definedName name="OM_Esc" localSheetId="5">#REF!</definedName>
    <definedName name="OM_Esc" localSheetId="8">#REF!</definedName>
    <definedName name="OM_Esc" localSheetId="1">#REF!</definedName>
    <definedName name="OM_Esc" localSheetId="4">#REF!</definedName>
    <definedName name="OM_Esc">#REF!</definedName>
    <definedName name="OM_Escpc1" localSheetId="2">#REF!</definedName>
    <definedName name="OM_Escpc1" localSheetId="5">#REF!</definedName>
    <definedName name="OM_Escpc1" localSheetId="8">#REF!</definedName>
    <definedName name="OM_Escpc1" localSheetId="1">#REF!</definedName>
    <definedName name="OM_Escpc1" localSheetId="4">#REF!</definedName>
    <definedName name="OM_Escpc1">#REF!</definedName>
    <definedName name="OM_Escpc2" localSheetId="2">#REF!</definedName>
    <definedName name="OM_Escpc2" localSheetId="5">#REF!</definedName>
    <definedName name="OM_Escpc2" localSheetId="8">#REF!</definedName>
    <definedName name="OM_Escpc2" localSheetId="1">#REF!</definedName>
    <definedName name="OM_Escpc2" localSheetId="4">#REF!</definedName>
    <definedName name="OM_Escpc2">#REF!</definedName>
    <definedName name="ON" localSheetId="2">#REF!</definedName>
    <definedName name="ON" localSheetId="5">#REF!</definedName>
    <definedName name="ON" localSheetId="8">#REF!</definedName>
    <definedName name="ON" localSheetId="1">#REF!</definedName>
    <definedName name="ON" localSheetId="4">#REF!</definedName>
    <definedName name="ON">#REF!</definedName>
    <definedName name="one" localSheetId="2">#REF!</definedName>
    <definedName name="one" localSheetId="5">#REF!</definedName>
    <definedName name="one" localSheetId="8">#REF!</definedName>
    <definedName name="one" localSheetId="1">#REF!</definedName>
    <definedName name="one" localSheetId="4">#REF!</definedName>
    <definedName name="one" localSheetId="9">#REF!</definedName>
    <definedName name="one">#REF!</definedName>
    <definedName name="onea" localSheetId="5">#REF!</definedName>
    <definedName name="onea" localSheetId="4">#REF!</definedName>
    <definedName name="onea" localSheetId="9">#REF!</definedName>
    <definedName name="onea">#REF!</definedName>
    <definedName name="oneb" localSheetId="5">#REF!</definedName>
    <definedName name="oneb" localSheetId="4">#REF!</definedName>
    <definedName name="oneb" localSheetId="9">#REF!</definedName>
    <definedName name="oneb">#REF!</definedName>
    <definedName name="onec" localSheetId="5">#REF!</definedName>
    <definedName name="onec" localSheetId="4">#REF!</definedName>
    <definedName name="onec" localSheetId="9">#REF!</definedName>
    <definedName name="onec">#REF!</definedName>
    <definedName name="onef" localSheetId="5">#REF!</definedName>
    <definedName name="onef" localSheetId="4">#REF!</definedName>
    <definedName name="onef" localSheetId="9">#REF!</definedName>
    <definedName name="onef">#REF!</definedName>
    <definedName name="oneg" localSheetId="5">#REF!</definedName>
    <definedName name="oneg" localSheetId="4">#REF!</definedName>
    <definedName name="oneg" localSheetId="9">#REF!</definedName>
    <definedName name="oneg">#REF!</definedName>
    <definedName name="oneh" localSheetId="5">#REF!</definedName>
    <definedName name="oneh" localSheetId="4">#REF!</definedName>
    <definedName name="oneh" localSheetId="9">#REF!</definedName>
    <definedName name="oneh">#REF!</definedName>
    <definedName name="onej" localSheetId="5">#REF!</definedName>
    <definedName name="onej" localSheetId="4">#REF!</definedName>
    <definedName name="onej" localSheetId="9">#REF!</definedName>
    <definedName name="onej">#REF!</definedName>
    <definedName name="onek" localSheetId="5">#REF!</definedName>
    <definedName name="onek" localSheetId="4">#REF!</definedName>
    <definedName name="onek" localSheetId="9">#REF!</definedName>
    <definedName name="onek">#REF!</definedName>
    <definedName name="Onpeak_hours" localSheetId="9">#REF!</definedName>
    <definedName name="Onpeak_hours">#REF!</definedName>
    <definedName name="Option_Account" localSheetId="2">#REF!</definedName>
    <definedName name="Option_Account" localSheetId="5">#REF!</definedName>
    <definedName name="Option_Account" localSheetId="8">#REF!</definedName>
    <definedName name="Option_Account" localSheetId="1">#REF!</definedName>
    <definedName name="Option_Account" localSheetId="4">#REF!</definedName>
    <definedName name="Option_Account" localSheetId="9">#REF!</definedName>
    <definedName name="Option_Account">#REF!</definedName>
    <definedName name="Option_Other" localSheetId="2">#REF!</definedName>
    <definedName name="Option_Other" localSheetId="5">#REF!</definedName>
    <definedName name="Option_Other" localSheetId="8">#REF!</definedName>
    <definedName name="Option_Other" localSheetId="1">#REF!</definedName>
    <definedName name="Option_Other" localSheetId="4">#REF!</definedName>
    <definedName name="Option_Other">#REF!</definedName>
    <definedName name="OTHER">#REF!</definedName>
    <definedName name="OTHINC" localSheetId="9">#REF!</definedName>
    <definedName name="OTHINC">#REF!</definedName>
    <definedName name="Otl_Dims" localSheetId="9">#REF!</definedName>
    <definedName name="Otl_Dims">#REF!</definedName>
    <definedName name="OUTPUT5" localSheetId="9">#REF!</definedName>
    <definedName name="OUTPUT5">#REF!</definedName>
    <definedName name="p" localSheetId="2">#REF!</definedName>
    <definedName name="p" localSheetId="5">#REF!</definedName>
    <definedName name="p" localSheetId="8">#REF!</definedName>
    <definedName name="p" localSheetId="1">#REF!</definedName>
    <definedName name="p" localSheetId="4">#REF!</definedName>
    <definedName name="p" localSheetId="9">#REF!</definedName>
    <definedName name="p">#REF!</definedName>
    <definedName name="p_high" localSheetId="9">#REF!</definedName>
    <definedName name="p_high">#REF!</definedName>
    <definedName name="p_low" localSheetId="9">#REF!</definedName>
    <definedName name="p_low">#REF!</definedName>
    <definedName name="P1_" localSheetId="9">#REF!</definedName>
    <definedName name="P1_">#REF!</definedName>
    <definedName name="P10_" localSheetId="9">#REF!</definedName>
    <definedName name="P10_">#REF!</definedName>
    <definedName name="P11_" localSheetId="9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_1_END">#REF!</definedName>
    <definedName name="PAGE_1_START">#REF!</definedName>
    <definedName name="PAGE1" localSheetId="9">#REF!</definedName>
    <definedName name="PAGE1">#REF!</definedName>
    <definedName name="PAGE2" localSheetId="9">#REF!</definedName>
    <definedName name="PAGE2">#REF!</definedName>
    <definedName name="PAGE21" localSheetId="9">#REF!</definedName>
    <definedName name="PAGE21">#REF!</definedName>
    <definedName name="PAGE2VIEWS" localSheetId="9">#REF!</definedName>
    <definedName name="PAGE2VIEWS">#REF!</definedName>
    <definedName name="PAGE3" localSheetId="9">#REF!</definedName>
    <definedName name="PAGE3">#REF!</definedName>
    <definedName name="PageCommand" localSheetId="2">#REF!</definedName>
    <definedName name="PageCommand" localSheetId="5">#REF!</definedName>
    <definedName name="PageCommand" localSheetId="8">#REF!</definedName>
    <definedName name="PageCommand" localSheetId="1">#REF!</definedName>
    <definedName name="PageCommand" localSheetId="4">#REF!</definedName>
    <definedName name="PageCommand" localSheetId="9">#REF!</definedName>
    <definedName name="PageCommand">#REF!</definedName>
    <definedName name="PAGECOMMAND1" localSheetId="5">#REF!</definedName>
    <definedName name="PAGECOMMAND1" localSheetId="4">#REF!</definedName>
    <definedName name="PAGECOMMAND1" localSheetId="9">#REF!</definedName>
    <definedName name="PAGECOMMAND1">#REF!</definedName>
    <definedName name="PageDim1" localSheetId="9">#REF!</definedName>
    <definedName name="PageDim1">#REF!</definedName>
    <definedName name="PageMember" localSheetId="5">#REF!</definedName>
    <definedName name="PageMember" localSheetId="4">#REF!</definedName>
    <definedName name="PageMember" localSheetId="9">#REF!</definedName>
    <definedName name="PageMember">#REF!</definedName>
    <definedName name="PAGEMEMBER1" localSheetId="5">#REF!</definedName>
    <definedName name="PAGEMEMBER1" localSheetId="4">#REF!</definedName>
    <definedName name="PAGEMEMBER1" localSheetId="9">#REF!</definedName>
    <definedName name="PAGEMEMBER1">#REF!</definedName>
    <definedName name="Pal_Workbook_GUID" hidden="1">"8JHMH9DXSMHNF44G668W66ZD"</definedName>
    <definedName name="Password">#REF!</definedName>
    <definedName name="PC1Esc" localSheetId="2">#REF!</definedName>
    <definedName name="PC1Esc" localSheetId="5">#REF!</definedName>
    <definedName name="PC1Esc" localSheetId="8">#REF!</definedName>
    <definedName name="PC1Esc" localSheetId="1">#REF!</definedName>
    <definedName name="PC1Esc" localSheetId="4">#REF!</definedName>
    <definedName name="PC1Esc" localSheetId="9">#REF!</definedName>
    <definedName name="PC1Esc">#REF!</definedName>
    <definedName name="PC2Esc" localSheetId="2">#REF!</definedName>
    <definedName name="PC2Esc" localSheetId="5">#REF!</definedName>
    <definedName name="PC2Esc" localSheetId="8">#REF!</definedName>
    <definedName name="PC2Esc" localSheetId="1">#REF!</definedName>
    <definedName name="PC2Esc" localSheetId="4">#REF!</definedName>
    <definedName name="PC2Esc">#REF!</definedName>
    <definedName name="PERIOD">#REF!</definedName>
    <definedName name="PGD" localSheetId="2" hidden="1">{"detail305",#N/A,FALSE,"BI-305"}</definedName>
    <definedName name="PGD" localSheetId="5" hidden="1">{"detail305",#N/A,FALSE,"BI-305"}</definedName>
    <definedName name="PGD" localSheetId="7" hidden="1">{"detail305",#N/A,FALSE,"BI-305"}</definedName>
    <definedName name="PGD" localSheetId="8" hidden="1">{"detail305",#N/A,FALSE,"BI-305"}</definedName>
    <definedName name="PGD" localSheetId="1" hidden="1">{"detail305",#N/A,FALSE,"BI-305"}</definedName>
    <definedName name="PGD" localSheetId="4" hidden="1">{"detail305",#N/A,FALSE,"BI-305"}</definedName>
    <definedName name="PGD" localSheetId="6" hidden="1">{"detail305",#N/A,FALSE,"BI-305"}</definedName>
    <definedName name="PGD" localSheetId="9" hidden="1">{"detail305",#N/A,FALSE,"BI-305"}</definedName>
    <definedName name="PGD" hidden="1">{"detail305",#N/A,FALSE,"BI-305"}</definedName>
    <definedName name="pig" localSheetId="2" hidden="1">{#N/A,#N/A,FALSE,"T COST";#N/A,#N/A,FALSE,"COST_FH"}</definedName>
    <definedName name="pig" localSheetId="5" hidden="1">{#N/A,#N/A,FALSE,"T COST";#N/A,#N/A,FALSE,"COST_FH"}</definedName>
    <definedName name="pig" localSheetId="7" hidden="1">{#N/A,#N/A,FALSE,"T COST";#N/A,#N/A,FALSE,"COST_FH"}</definedName>
    <definedName name="pig" localSheetId="8" hidden="1">{#N/A,#N/A,FALSE,"T COST";#N/A,#N/A,FALSE,"COST_FH"}</definedName>
    <definedName name="pig" localSheetId="1" hidden="1">{#N/A,#N/A,FALSE,"T COST";#N/A,#N/A,FALSE,"COST_FH"}</definedName>
    <definedName name="pig" localSheetId="4" hidden="1">{#N/A,#N/A,FALSE,"T COST";#N/A,#N/A,FALSE,"COST_FH"}</definedName>
    <definedName name="pig" localSheetId="6" hidden="1">{#N/A,#N/A,FALSE,"T COST";#N/A,#N/A,FALSE,"COST_FH"}</definedName>
    <definedName name="pig" localSheetId="9" hidden="1">{#N/A,#N/A,FALSE,"T COST";#N/A,#N/A,FALSE,"COST_FH"}</definedName>
    <definedName name="pig" hidden="1">{#N/A,#N/A,FALSE,"T COST";#N/A,#N/A,FALSE,"COST_FH"}</definedName>
    <definedName name="pig_dig5" localSheetId="2" hidden="1">{#N/A,#N/A,FALSE,"T COST";#N/A,#N/A,FALSE,"COST_FH"}</definedName>
    <definedName name="pig_dig5" localSheetId="5" hidden="1">{#N/A,#N/A,FALSE,"T COST";#N/A,#N/A,FALSE,"COST_FH"}</definedName>
    <definedName name="pig_dig5" localSheetId="7" hidden="1">{#N/A,#N/A,FALSE,"T COST";#N/A,#N/A,FALSE,"COST_FH"}</definedName>
    <definedName name="pig_dig5" localSheetId="8" hidden="1">{#N/A,#N/A,FALSE,"T COST";#N/A,#N/A,FALSE,"COST_FH"}</definedName>
    <definedName name="pig_dig5" localSheetId="1" hidden="1">{#N/A,#N/A,FALSE,"T COST";#N/A,#N/A,FALSE,"COST_FH"}</definedName>
    <definedName name="pig_dig5" localSheetId="4" hidden="1">{#N/A,#N/A,FALSE,"T COST";#N/A,#N/A,FALSE,"COST_FH"}</definedName>
    <definedName name="pig_dig5" localSheetId="6" hidden="1">{#N/A,#N/A,FALSE,"T COST";#N/A,#N/A,FALSE,"COST_FH"}</definedName>
    <definedName name="pig_dig5" localSheetId="9" hidden="1">{#N/A,#N/A,FALSE,"T COST";#N/A,#N/A,FALSE,"COST_FH"}</definedName>
    <definedName name="pig_dig5" hidden="1">{#N/A,#N/A,FALSE,"T COST";#N/A,#N/A,FALSE,"COST_FH"}</definedName>
    <definedName name="pig_dog" localSheetId="2" hidden="1">{2;#N/A;"R13C16:R17C16";#N/A;"R13C14:R17C15";FALSE;FALSE;FALSE;95;#N/A;#N/A;"R13C19";#N/A;FALSE;FALSE;FALSE;FALSE;#N/A;"";#N/A;FALSE;"";"";#N/A;#N/A;#N/A}</definedName>
    <definedName name="pig_dog" localSheetId="5" hidden="1">{2;#N/A;"R13C16:R17C16";#N/A;"R13C14:R17C15";FALSE;FALSE;FALSE;95;#N/A;#N/A;"R13C19";#N/A;FALSE;FALSE;FALSE;FALSE;#N/A;"";#N/A;FALSE;"";"";#N/A;#N/A;#N/A}</definedName>
    <definedName name="pig_dog" localSheetId="7" hidden="1">{2;#N/A;"R13C16:R17C16";#N/A;"R13C14:R17C15";FALSE;FALSE;FALSE;95;#N/A;#N/A;"R13C19";#N/A;FALSE;FALSE;FALSE;FALSE;#N/A;"";#N/A;FALSE;"";"";#N/A;#N/A;#N/A}</definedName>
    <definedName name="pig_dog" localSheetId="8" hidden="1">{2;#N/A;"R13C16:R17C16";#N/A;"R13C14:R17C15";FALSE;FALSE;FALSE;95;#N/A;#N/A;"R13C19";#N/A;FALSE;FALSE;FALSE;FALSE;#N/A;"";#N/A;FALSE;"";"";#N/A;#N/A;#N/A}</definedName>
    <definedName name="pig_dog" localSheetId="1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localSheetId="6" hidden="1">{2;#N/A;"R13C16:R17C16";#N/A;"R13C14:R17C15";FALSE;FALSE;FALSE;95;#N/A;#N/A;"R13C19";#N/A;FALSE;FALSE;FALSE;FALSE;#N/A;"";#N/A;FALSE;"";"";#N/A;#N/A;#N/A}</definedName>
    <definedName name="pig_dog" localSheetId="9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2" hidden="1">{"EXCELHLP.HLP!1802";5;10;5;10;13;13;13;8;5;5;10;14;13;13;13;13;5;10;14;13;5;10;1;2;24}</definedName>
    <definedName name="pig_dog\" localSheetId="5" hidden="1">{"EXCELHLP.HLP!1802";5;10;5;10;13;13;13;8;5;5;10;14;13;13;13;13;5;10;14;13;5;10;1;2;24}</definedName>
    <definedName name="pig_dog\" localSheetId="7" hidden="1">{"EXCELHLP.HLP!1802";5;10;5;10;13;13;13;8;5;5;10;14;13;13;13;13;5;10;14;13;5;10;1;2;24}</definedName>
    <definedName name="pig_dog\" localSheetId="8" hidden="1">{"EXCELHLP.HLP!1802";5;10;5;10;13;13;13;8;5;5;10;14;13;13;13;13;5;10;14;13;5;10;1;2;24}</definedName>
    <definedName name="pig_dog\" localSheetId="1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localSheetId="6" hidden="1">{"EXCELHLP.HLP!1802";5;10;5;10;13;13;13;8;5;5;10;14;13;13;13;13;5;10;14;13;5;10;1;2;24}</definedName>
    <definedName name="pig_dog\" localSheetId="9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2" hidden="1">{#N/A,#N/A,FALSE,"SUMMARY";#N/A,#N/A,FALSE,"INPUTDATA";#N/A,#N/A,FALSE,"Condenser Performance"}</definedName>
    <definedName name="pig_dog4" localSheetId="5" hidden="1">{#N/A,#N/A,FALSE,"SUMMARY";#N/A,#N/A,FALSE,"INPUTDATA";#N/A,#N/A,FALSE,"Condenser Performance"}</definedName>
    <definedName name="pig_dog4" localSheetId="7" hidden="1">{#N/A,#N/A,FALSE,"SUMMARY";#N/A,#N/A,FALSE,"INPUTDATA";#N/A,#N/A,FALSE,"Condenser Performance"}</definedName>
    <definedName name="pig_dog4" localSheetId="8" hidden="1">{#N/A,#N/A,FALSE,"SUMMARY";#N/A,#N/A,FALSE,"INPUTDATA";#N/A,#N/A,FALSE,"Condenser Performance"}</definedName>
    <definedName name="pig_dog4" localSheetId="1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localSheetId="6" hidden="1">{#N/A,#N/A,FALSE,"SUMMARY";#N/A,#N/A,FALSE,"INPUTDATA";#N/A,#N/A,FALSE,"Condenser Performance"}</definedName>
    <definedName name="pig_dog4" localSheetId="9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localSheetId="5" hidden="1">{#N/A,#N/A,FALSE,"INPUTDATA";#N/A,#N/A,FALSE,"SUMMARY";#N/A,#N/A,FALSE,"CTAREP";#N/A,#N/A,FALSE,"CTBREP";#N/A,#N/A,FALSE,"TURBEFF";#N/A,#N/A,FALSE,"Condenser Performance"}</definedName>
    <definedName name="pig_dog6" localSheetId="7" hidden="1">{#N/A,#N/A,FALSE,"INPUTDATA";#N/A,#N/A,FALSE,"SUMMARY";#N/A,#N/A,FALSE,"CTAREP";#N/A,#N/A,FALSE,"CTBREP";#N/A,#N/A,FALSE,"TURBEFF";#N/A,#N/A,FALSE,"Condenser Performance"}</definedName>
    <definedName name="pig_dog6" localSheetId="8" hidden="1">{#N/A,#N/A,FALSE,"INPUTDATA";#N/A,#N/A,FALSE,"SUMMARY";#N/A,#N/A,FALSE,"CTAREP";#N/A,#N/A,FALSE,"CTBREP";#N/A,#N/A,FALSE,"TURBEFF";#N/A,#N/A,FALSE,"Condenser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localSheetId="6" hidden="1">{#N/A,#N/A,FALSE,"INPUTDATA";#N/A,#N/A,FALSE,"SUMMARY";#N/A,#N/A,FALSE,"CTAREP";#N/A,#N/A,FALSE,"CTBREP";#N/A,#N/A,FALSE,"TURBEFF";#N/A,#N/A,FALSE,"Condenser Performance"}</definedName>
    <definedName name="pig_dog6" localSheetId="9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2" hidden="1">{#N/A,#N/A,FALSE,"INPUTDATA";#N/A,#N/A,FALSE,"SUMMARY"}</definedName>
    <definedName name="pig_dog7" localSheetId="5" hidden="1">{#N/A,#N/A,FALSE,"INPUTDATA";#N/A,#N/A,FALSE,"SUMMARY"}</definedName>
    <definedName name="pig_dog7" localSheetId="7" hidden="1">{#N/A,#N/A,FALSE,"INPUTDATA";#N/A,#N/A,FALSE,"SUMMARY"}</definedName>
    <definedName name="pig_dog7" localSheetId="8" hidden="1">{#N/A,#N/A,FALSE,"INPUTDATA";#N/A,#N/A,FALSE,"SUMMARY"}</definedName>
    <definedName name="pig_dog7" localSheetId="1" hidden="1">{#N/A,#N/A,FALSE,"INPUTDATA";#N/A,#N/A,FALSE,"SUMMARY"}</definedName>
    <definedName name="pig_dog7" localSheetId="4" hidden="1">{#N/A,#N/A,FALSE,"INPUTDATA";#N/A,#N/A,FALSE,"SUMMARY"}</definedName>
    <definedName name="pig_dog7" localSheetId="6" hidden="1">{#N/A,#N/A,FALSE,"INPUTDATA";#N/A,#N/A,FALSE,"SUMMARY"}</definedName>
    <definedName name="pig_dog7" localSheetId="9" hidden="1">{#N/A,#N/A,FALSE,"INPUTDATA";#N/A,#N/A,FALSE,"SUMMARY"}</definedName>
    <definedName name="pig_dog7" hidden="1">{#N/A,#N/A,FALSE,"INPUTDATA";#N/A,#N/A,FALSE,"SUMMARY"}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localSheetId="5" hidden="1">{#N/A,#N/A,FALSE,"INPUTDATA";#N/A,#N/A,FALSE,"SUMMARY";#N/A,#N/A,FALSE,"CTAREP";#N/A,#N/A,FALSE,"CTBREP";#N/A,#N/A,FALSE,"PMG4ST86";#N/A,#N/A,FALSE,"TURBEFF";#N/A,#N/A,FALSE,"Condenser Performance"}</definedName>
    <definedName name="pig_dog8" localSheetId="7" hidden="1">{#N/A,#N/A,FALSE,"INPUTDATA";#N/A,#N/A,FALSE,"SUMMARY";#N/A,#N/A,FALSE,"CTAREP";#N/A,#N/A,FALSE,"CTBREP";#N/A,#N/A,FALSE,"PMG4ST86";#N/A,#N/A,FALSE,"TURBEFF";#N/A,#N/A,FALSE,"Condenser Performance"}</definedName>
    <definedName name="pig_dog8" localSheetId="8" hidden="1">{#N/A,#N/A,FALSE,"INPUTDATA";#N/A,#N/A,FALSE,"SUMMARY";#N/A,#N/A,FALSE,"CTAREP";#N/A,#N/A,FALSE,"CTBREP";#N/A,#N/A,FALSE,"PMG4ST86";#N/A,#N/A,FALSE,"TURBEFF";#N/A,#N/A,FALSE,"Condenser Performance"}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localSheetId="6" hidden="1">{#N/A,#N/A,FALSE,"INPUTDATA";#N/A,#N/A,FALSE,"SUMMARY";#N/A,#N/A,FALSE,"CTAREP";#N/A,#N/A,FALSE,"CTBREP";#N/A,#N/A,FALSE,"PMG4ST86";#N/A,#N/A,FALSE,"TURBEFF";#N/A,#N/A,FALSE,"Condenser Performance"}</definedName>
    <definedName name="pig_dog8" localSheetId="9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localSheetId="2" hidden="1">{"summary",#N/A,FALSE,"PCR DIRECTORY"}</definedName>
    <definedName name="pmm" localSheetId="5" hidden="1">{"summary",#N/A,FALSE,"PCR DIRECTORY"}</definedName>
    <definedName name="pmm" localSheetId="7" hidden="1">{"summary",#N/A,FALSE,"PCR DIRECTORY"}</definedName>
    <definedName name="pmm" localSheetId="8" hidden="1">{"summary",#N/A,FALSE,"PCR DIRECTORY"}</definedName>
    <definedName name="pmm" localSheetId="1" hidden="1">{"summary",#N/A,FALSE,"PCR DIRECTORY"}</definedName>
    <definedName name="pmm" localSheetId="4" hidden="1">{"summary",#N/A,FALSE,"PCR DIRECTORY"}</definedName>
    <definedName name="pmm" localSheetId="6" hidden="1">{"summary",#N/A,FALSE,"PCR DIRECTORY"}</definedName>
    <definedName name="pmm" localSheetId="9" hidden="1">{"summary",#N/A,FALSE,"PCR DIRECTORY"}</definedName>
    <definedName name="pmm" hidden="1">{"summary",#N/A,FALSE,"PCR DIRECTORY"}</definedName>
    <definedName name="PMT" localSheetId="2" hidden="1">{"detail305",#N/A,FALSE,"BI-305"}</definedName>
    <definedName name="PMT" localSheetId="5" hidden="1">{"detail305",#N/A,FALSE,"BI-305"}</definedName>
    <definedName name="PMT" localSheetId="7" hidden="1">{"detail305",#N/A,FALSE,"BI-305"}</definedName>
    <definedName name="PMT" localSheetId="8" hidden="1">{"detail305",#N/A,FALSE,"BI-305"}</definedName>
    <definedName name="PMT" localSheetId="1" hidden="1">{"detail305",#N/A,FALSE,"BI-305"}</definedName>
    <definedName name="PMT" localSheetId="4" hidden="1">{"detail305",#N/A,FALSE,"BI-305"}</definedName>
    <definedName name="PMT" localSheetId="6" hidden="1">{"detail305",#N/A,FALSE,"BI-305"}</definedName>
    <definedName name="PMT" localSheetId="9" hidden="1">{"detail305",#N/A,FALSE,"BI-305"}</definedName>
    <definedName name="PMT" hidden="1">{"detail305",#N/A,FALSE,"BI-305"}</definedName>
    <definedName name="PMX" localSheetId="2" hidden="1">{"detail305",#N/A,FALSE,"BI-305"}</definedName>
    <definedName name="PMX" localSheetId="5" hidden="1">{"detail305",#N/A,FALSE,"BI-305"}</definedName>
    <definedName name="PMX" localSheetId="7" hidden="1">{"detail305",#N/A,FALSE,"BI-305"}</definedName>
    <definedName name="PMX" localSheetId="8" hidden="1">{"detail305",#N/A,FALSE,"BI-305"}</definedName>
    <definedName name="PMX" localSheetId="1" hidden="1">{"detail305",#N/A,FALSE,"BI-305"}</definedName>
    <definedName name="PMX" localSheetId="4" hidden="1">{"detail305",#N/A,FALSE,"BI-305"}</definedName>
    <definedName name="PMX" localSheetId="6" hidden="1">{"detail305",#N/A,FALSE,"BI-305"}</definedName>
    <definedName name="PMX" localSheetId="9" hidden="1">{"detail305",#N/A,FALSE,"BI-305"}</definedName>
    <definedName name="PMX" hidden="1">{"detail305",#N/A,FALSE,"BI-305"}</definedName>
    <definedName name="Position_Summaries" localSheetId="2">#REF!</definedName>
    <definedName name="Position_Summaries" localSheetId="8">#REF!</definedName>
    <definedName name="Position_Summaries" localSheetId="1">#REF!</definedName>
    <definedName name="Position_Summaries" localSheetId="9">#REF!</definedName>
    <definedName name="Position_Summaries">#REF!</definedName>
    <definedName name="Prel_Estimate_for_Final" localSheetId="9">#REF!</definedName>
    <definedName name="Prel_Estimate_for_Final">#REF!</definedName>
    <definedName name="PRELIMINARY_DETAIL_on_Summary_data" localSheetId="9">#REF!</definedName>
    <definedName name="PRELIMINARY_DETAIL_on_Summary_data">#REF!</definedName>
    <definedName name="Preliminary_Estimate" localSheetId="9">#REF!</definedName>
    <definedName name="Preliminary_Estimate">#REF!</definedName>
    <definedName name="prelimp2" localSheetId="2">#REF!</definedName>
    <definedName name="prelimp2" localSheetId="5">#REF!</definedName>
    <definedName name="prelimp2" localSheetId="8">#REF!</definedName>
    <definedName name="prelimp2" localSheetId="1">#REF!</definedName>
    <definedName name="prelimp2" localSheetId="4">#REF!</definedName>
    <definedName name="prelimp2">#REF!</definedName>
    <definedName name="prelimp3" localSheetId="2">#REF!</definedName>
    <definedName name="prelimp3" localSheetId="5">#REF!</definedName>
    <definedName name="prelimp3" localSheetId="8">#REF!</definedName>
    <definedName name="prelimp3" localSheetId="1">#REF!</definedName>
    <definedName name="prelimp3" localSheetId="4">#REF!</definedName>
    <definedName name="prelimp3">#REF!</definedName>
    <definedName name="PRINT" localSheetId="2">#REF!</definedName>
    <definedName name="PRINT" localSheetId="5">#REF!</definedName>
    <definedName name="PRINT" localSheetId="8">#REF!</definedName>
    <definedName name="PRINT" localSheetId="1">#REF!</definedName>
    <definedName name="PRINT" localSheetId="4">#REF!</definedName>
    <definedName name="PRINT">#REF!</definedName>
    <definedName name="_xlnm.Print_Area" localSheetId="8">#REF!</definedName>
    <definedName name="_xlnm.Print_Area" localSheetId="0">'JNF-1'!$B$3:$I$35</definedName>
    <definedName name="_xlnm.Print_Area" localSheetId="9">#REF!</definedName>
    <definedName name="_xlnm.Print_Area">#REF!</definedName>
    <definedName name="PRINT_AREA_MI" localSheetId="5">#REF!</definedName>
    <definedName name="PRINT_AREA_MI" localSheetId="4">#REF!</definedName>
    <definedName name="PRINT_AREA_MI">#REF!</definedName>
    <definedName name="print_sheet" localSheetId="5">#REF!</definedName>
    <definedName name="print_sheet" localSheetId="4">#REF!</definedName>
    <definedName name="print_sheet">#REF!</definedName>
    <definedName name="PRINT_TITLES_MI" localSheetId="2">#REF!</definedName>
    <definedName name="PRINT_TITLES_MI" localSheetId="5">#REF!</definedName>
    <definedName name="PRINT_TITLES_MI" localSheetId="8">#REF!</definedName>
    <definedName name="PRINT_TITLES_MI" localSheetId="1">#REF!</definedName>
    <definedName name="PRINT_TITLES_MI" localSheetId="4">#REF!</definedName>
    <definedName name="PRINT_TITLES_MI" localSheetId="9">#REF!</definedName>
    <definedName name="PRINT_TITLES_MI">#REF!</definedName>
    <definedName name="PRINT1" localSheetId="2">#REF!</definedName>
    <definedName name="PRINT1" localSheetId="5">#REF!</definedName>
    <definedName name="PRINT1" localSheetId="8">#REF!</definedName>
    <definedName name="PRINT1" localSheetId="1">#REF!</definedName>
    <definedName name="PRINT1" localSheetId="4">#REF!</definedName>
    <definedName name="PRINT1">#REF!</definedName>
    <definedName name="PrintArea" localSheetId="2">#REF!</definedName>
    <definedName name="PrintArea" localSheetId="5">#REF!</definedName>
    <definedName name="PrintArea" localSheetId="8">#REF!</definedName>
    <definedName name="PrintArea" localSheetId="1">#REF!</definedName>
    <definedName name="PrintArea" localSheetId="4">#REF!</definedName>
    <definedName name="PrintArea">#REF!</definedName>
    <definedName name="PRINTAREA1" localSheetId="2">#REF!</definedName>
    <definedName name="PRINTAREA1" localSheetId="5">#REF!</definedName>
    <definedName name="PRINTAREA1" localSheetId="8">#REF!</definedName>
    <definedName name="PRINTAREA1" localSheetId="1">#REF!</definedName>
    <definedName name="PRINTAREA1" localSheetId="4">#REF!</definedName>
    <definedName name="PRINTAREA1">#REF!</definedName>
    <definedName name="PRIOR" localSheetId="9">#REF!</definedName>
    <definedName name="PRIOR">#REF!</definedName>
    <definedName name="PRIOR_YEAR_DATE" localSheetId="9">#REF!</definedName>
    <definedName name="PRIOR_YEAR_DATE">#REF!</definedName>
    <definedName name="PRIOR_YEAR_X" localSheetId="9">#REF!</definedName>
    <definedName name="PRIOR_YEAR_X">#REF!</definedName>
    <definedName name="proj_info" localSheetId="2">#REF!</definedName>
    <definedName name="proj_info" localSheetId="8">#REF!</definedName>
    <definedName name="proj_info" localSheetId="1">#REF!</definedName>
    <definedName name="proj_info" localSheetId="9">#REF!</definedName>
    <definedName name="proj_info">#REF!</definedName>
    <definedName name="Proposed" localSheetId="2" hidden="1">{#N/A,#N/A,TRUE,"TOTAL DISTRIBUTION";#N/A,#N/A,TRUE,"SOUTH";#N/A,#N/A,TRUE,"NORTHEAST";#N/A,#N/A,TRUE,"WEST"}</definedName>
    <definedName name="Proposed" localSheetId="8" hidden="1">{#N/A,#N/A,TRUE,"TOTAL DISTRIBUTION";#N/A,#N/A,TRUE,"SOUTH";#N/A,#N/A,TRUE,"NORTHEAST";#N/A,#N/A,TRUE,"WEST"}</definedName>
    <definedName name="Proposed" localSheetId="9" hidden="1">{#N/A,#N/A,TRUE,"TOTAL DISTRIBUTION";#N/A,#N/A,TRUE,"SOUTH";#N/A,#N/A,TRUE,"NORTHEAST";#N/A,#N/A,TRUE,"WEST"}</definedName>
    <definedName name="Proposed" hidden="1">{#N/A,#N/A,TRUE,"TOTAL DISTRIBUTION";#N/A,#N/A,TRUE,"SOUTH";#N/A,#N/A,TRUE,"NORTHEAST";#N/A,#N/A,TRUE,"WEST"}</definedName>
    <definedName name="proxy_p" localSheetId="9">#REF!</definedName>
    <definedName name="proxy_p">#REF!</definedName>
    <definedName name="proxy_q" localSheetId="9">#REF!</definedName>
    <definedName name="proxy_q">#REF!</definedName>
    <definedName name="psc_offset" localSheetId="9">#REF!</definedName>
    <definedName name="psc_offset">#REF!</definedName>
    <definedName name="PURCHASE" localSheetId="9">#REF!</definedName>
    <definedName name="PURCHASE">#REF!</definedName>
    <definedName name="PURE" localSheetId="9">#REF!</definedName>
    <definedName name="PURE">#REF!</definedName>
    <definedName name="PUREC" localSheetId="9">#REF!</definedName>
    <definedName name="PUREC">#REF!</definedName>
    <definedName name="q" localSheetId="2">#REF!</definedName>
    <definedName name="q" localSheetId="5">#REF!</definedName>
    <definedName name="q" localSheetId="8">#REF!</definedName>
    <definedName name="q" localSheetId="1">#REF!</definedName>
    <definedName name="q" localSheetId="4">#REF!</definedName>
    <definedName name="q" localSheetId="9">#REF!</definedName>
    <definedName name="q">#REF!</definedName>
    <definedName name="q_high" localSheetId="9">#REF!</definedName>
    <definedName name="q_high">#REF!</definedName>
    <definedName name="q_low" localSheetId="9">#REF!</definedName>
    <definedName name="q_low">#REF!</definedName>
    <definedName name="qqq" localSheetId="2" hidden="1">{"Martin Oct94_Mar95",#N/A,FALSE,"Martin Oct94 - Mar95"}</definedName>
    <definedName name="qqq" localSheetId="5" hidden="1">{"Martin Oct94_Mar95",#N/A,FALSE,"Martin Oct94 - Mar95"}</definedName>
    <definedName name="qqq" localSheetId="7" hidden="1">{"Martin Oct94_Mar95",#N/A,FALSE,"Martin Oct94 - Mar95"}</definedName>
    <definedName name="qqq" localSheetId="8" hidden="1">{"Martin Oct94_Mar95",#N/A,FALSE,"Martin Oct94 - Mar95"}</definedName>
    <definedName name="qqq" localSheetId="1" hidden="1">{"Martin Oct94_Mar95",#N/A,FALSE,"Martin Oct94 - Mar95"}</definedName>
    <definedName name="qqq" localSheetId="4" hidden="1">{"Martin Oct94_Mar95",#N/A,FALSE,"Martin Oct94 - Mar95"}</definedName>
    <definedName name="qqq" localSheetId="6" hidden="1">{"Martin Oct94_Mar95",#N/A,FALSE,"Martin Oct94 - Mar95"}</definedName>
    <definedName name="qqq" localSheetId="9" hidden="1">{"Martin Oct94_Mar95",#N/A,FALSE,"Martin Oct94 - Mar95"}</definedName>
    <definedName name="qqq" hidden="1">{"Martin Oct94_Mar95",#N/A,FALSE,"Martin Oct94 - Mar95"}</definedName>
    <definedName name="RAIL">#REF!</definedName>
    <definedName name="Range_AllET" localSheetId="5">#REF!</definedName>
    <definedName name="Range_AllET" localSheetId="4">#REF!</definedName>
    <definedName name="Range_AllET" localSheetId="9">#REF!</definedName>
    <definedName name="Range_AllET">#REF!</definedName>
    <definedName name="RANGEALLET1" localSheetId="5">#REF!</definedName>
    <definedName name="RANGEALLET1" localSheetId="4">#REF!</definedName>
    <definedName name="RANGEALLET1" localSheetId="9">#REF!</definedName>
    <definedName name="RANGEALLET1">#REF!</definedName>
    <definedName name="RangeVar" localSheetId="2">#REF!</definedName>
    <definedName name="RangeVar" localSheetId="5">#REF!</definedName>
    <definedName name="RangeVar" localSheetId="8">#REF!</definedName>
    <definedName name="RangeVar" localSheetId="1">#REF!</definedName>
    <definedName name="RangeVar" localSheetId="4">#REF!</definedName>
    <definedName name="RangeVar" localSheetId="9">#REF!</definedName>
    <definedName name="RangeVar">#REF!</definedName>
    <definedName name="RANGEVAR1" localSheetId="2">#REF!</definedName>
    <definedName name="RANGEVAR1" localSheetId="5">#REF!</definedName>
    <definedName name="RANGEVAR1" localSheetId="8">#REF!</definedName>
    <definedName name="RANGEVAR1" localSheetId="1">#REF!</definedName>
    <definedName name="RANGEVAR1" localSheetId="4">#REF!</definedName>
    <definedName name="RANGEVAR1">#REF!</definedName>
    <definedName name="rangevara" localSheetId="2">#REF!</definedName>
    <definedName name="rangevara" localSheetId="5">#REF!</definedName>
    <definedName name="rangevara" localSheetId="8">#REF!</definedName>
    <definedName name="rangevara" localSheetId="1">#REF!</definedName>
    <definedName name="rangevara" localSheetId="4">#REF!</definedName>
    <definedName name="rangevara">#REF!</definedName>
    <definedName name="RANK" localSheetId="9">#REF!</definedName>
    <definedName name="RANK">#REF!</definedName>
    <definedName name="RATES" localSheetId="2">#REF!</definedName>
    <definedName name="RATES" localSheetId="5">#REF!</definedName>
    <definedName name="RATES" localSheetId="8">#REF!</definedName>
    <definedName name="RATES" localSheetId="1">#REF!</definedName>
    <definedName name="RATES" localSheetId="4">#REF!</definedName>
    <definedName name="RATES" localSheetId="9">#REF!</definedName>
    <definedName name="RATES">#REF!</definedName>
    <definedName name="rawdata" localSheetId="9">#REF!</definedName>
    <definedName name="rawdata">#REF!</definedName>
    <definedName name="Remaining" localSheetId="5">#REF!</definedName>
    <definedName name="Remaining" localSheetId="4">#REF!</definedName>
    <definedName name="Remaining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 localSheetId="5">#REF!</definedName>
    <definedName name="ReportCol1" localSheetId="4">#REF!</definedName>
    <definedName name="ReportCol1" localSheetId="9">#REF!</definedName>
    <definedName name="ReportCol1">#REF!</definedName>
    <definedName name="ReportRange" localSheetId="2">#REF!</definedName>
    <definedName name="ReportRange" localSheetId="5">#REF!</definedName>
    <definedName name="ReportRange" localSheetId="8">#REF!</definedName>
    <definedName name="ReportRange" localSheetId="1">#REF!</definedName>
    <definedName name="ReportRange" localSheetId="4">#REF!</definedName>
    <definedName name="ReportRange" localSheetId="9">#REF!</definedName>
    <definedName name="ReportRange">#REF!</definedName>
    <definedName name="REPORTRANGE1" localSheetId="2">#REF!</definedName>
    <definedName name="REPORTRANGE1" localSheetId="5">#REF!</definedName>
    <definedName name="REPORTRANGE1" localSheetId="8">#REF!</definedName>
    <definedName name="REPORTRANGE1" localSheetId="1">#REF!</definedName>
    <definedName name="REPORTRANGE1" localSheetId="4">#REF!</definedName>
    <definedName name="REPORTRANGE1">#REF!</definedName>
    <definedName name="ReportSelection">#REF!</definedName>
    <definedName name="RES">#REF!</definedName>
    <definedName name="RESP1">#REF!</definedName>
    <definedName name="rev" localSheetId="2" hidden="1">{#N/A,#N/A,TRUE,"TOTAL DISTRIBUTION";#N/A,#N/A,TRUE,"SOUTH";#N/A,#N/A,TRUE,"NORTHEAST";#N/A,#N/A,TRUE,"WEST"}</definedName>
    <definedName name="rev" localSheetId="8" hidden="1">{#N/A,#N/A,TRUE,"TOTAL DISTRIBUTION";#N/A,#N/A,TRUE,"SOUTH";#N/A,#N/A,TRUE,"NORTHEAST";#N/A,#N/A,TRUE,"WEST"}</definedName>
    <definedName name="rev" localSheetId="9" hidden="1">{#N/A,#N/A,TRUE,"TOTAL DISTRIBUTION";#N/A,#N/A,TRUE,"SOUTH";#N/A,#N/A,TRUE,"NORTHEAST";#N/A,#N/A,TRUE,"WEST"}</definedName>
    <definedName name="rev" hidden="1">{#N/A,#N/A,TRUE,"TOTAL DISTRIBUTION";#N/A,#N/A,TRUE,"SOUTH";#N/A,#N/A,TRUE,"NORTHEAST";#N/A,#N/A,TRUE,"WEST"}</definedName>
    <definedName name="REVENUERPT" localSheetId="9">#REF!</definedName>
    <definedName name="REVENUERPT">#REF!</definedName>
    <definedName name="revised" localSheetId="2" hidden="1">{#N/A,#N/A,TRUE,"TOTAL DSBN";#N/A,#N/A,TRUE,"WEST";#N/A,#N/A,TRUE,"SOUTH";#N/A,#N/A,TRUE,"NORTHEAST"}</definedName>
    <definedName name="revised" localSheetId="8" hidden="1">{#N/A,#N/A,TRUE,"TOTAL DSBN";#N/A,#N/A,TRUE,"WEST";#N/A,#N/A,TRUE,"SOUTH";#N/A,#N/A,TRUE,"NORTHEAST"}</definedName>
    <definedName name="revised" localSheetId="9" hidden="1">{#N/A,#N/A,TRUE,"TOTAL DSBN";#N/A,#N/A,TRUE,"WEST";#N/A,#N/A,TRUE,"SOUTH";#N/A,#N/A,TRUE,"NORTHEAST"}</definedName>
    <definedName name="revised" hidden="1">{#N/A,#N/A,TRUE,"TOTAL DSBN";#N/A,#N/A,TRUE,"WEST";#N/A,#N/A,TRUE,"SOUTH";#N/A,#N/A,TRUE,"NORTHEAST"}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localSheetId="2" hidden="1">{#N/A,#N/A,TRUE,"TOTAL DISTRIBUTION";#N/A,#N/A,TRUE,"SOUTH";#N/A,#N/A,TRUE,"NORTHEAST";#N/A,#N/A,TRUE,"WEST"}</definedName>
    <definedName name="rita" localSheetId="8" hidden="1">{#N/A,#N/A,TRUE,"TOTAL DISTRIBUTION";#N/A,#N/A,TRUE,"SOUTH";#N/A,#N/A,TRUE,"NORTHEAST";#N/A,#N/A,TRUE,"WEST"}</definedName>
    <definedName name="rita" localSheetId="9" hidden="1">{#N/A,#N/A,TRUE,"TOTAL DISTRIBUTION";#N/A,#N/A,TRUE,"SOUTH";#N/A,#N/A,TRUE,"NORTHEAST";#N/A,#N/A,TRUE,"WEST"}</definedName>
    <definedName name="rita" hidden="1">{#N/A,#N/A,TRUE,"TOTAL DISTRIBUTION";#N/A,#N/A,TRUE,"SOUTH";#N/A,#N/A,TRUE,"NORTHEAST";#N/A,#N/A,TRUE,"WEST"}</definedName>
    <definedName name="RoundingOption">#REF!</definedName>
    <definedName name="ROWCOM" localSheetId="2">#REF!</definedName>
    <definedName name="ROWCOM" localSheetId="5">#REF!</definedName>
    <definedName name="ROWCOM" localSheetId="8">#REF!</definedName>
    <definedName name="ROWCOM" localSheetId="1">#REF!</definedName>
    <definedName name="ROWCOM" localSheetId="4">#REF!</definedName>
    <definedName name="ROWCOM" localSheetId="9">#REF!</definedName>
    <definedName name="ROWCOM">#REF!</definedName>
    <definedName name="RowCommand" localSheetId="5">#REF!</definedName>
    <definedName name="RowCommand" localSheetId="4">#REF!</definedName>
    <definedName name="RowCommand" localSheetId="9">#REF!</definedName>
    <definedName name="RowCommand">#REF!</definedName>
    <definedName name="ROWMEM" localSheetId="5">#REF!</definedName>
    <definedName name="ROWMEM" localSheetId="4">#REF!</definedName>
    <definedName name="ROWMEM" localSheetId="9">#REF!</definedName>
    <definedName name="ROWMEM">#REF!</definedName>
    <definedName name="RowMember" localSheetId="5">#REF!</definedName>
    <definedName name="RowMember" localSheetId="4">#REF!</definedName>
    <definedName name="RowMember" localSheetId="9">#REF!</definedName>
    <definedName name="RowMember">#REF!</definedName>
    <definedName name="rp_efoh_puf_yrs_rp_efoh_puf_yrs_List" localSheetId="9">#REF!</definedName>
    <definedName name="rp_efoh_puf_yrs_rp_efoh_puf_yrs_List">#REF!</definedName>
    <definedName name="Rpt1_RequiredRev" localSheetId="9">#REF!</definedName>
    <definedName name="Rpt1_RequiredRev">#REF!</definedName>
    <definedName name="Rpt2Act" localSheetId="2">#REF!</definedName>
    <definedName name="Rpt2Act" localSheetId="5">#REF!</definedName>
    <definedName name="Rpt2Act" localSheetId="8">#REF!</definedName>
    <definedName name="Rpt2Act" localSheetId="1">#REF!</definedName>
    <definedName name="Rpt2Act" localSheetId="4">#REF!</definedName>
    <definedName name="Rpt2Act">#REF!</definedName>
    <definedName name="Rpt2ActTot" localSheetId="2">#REF!</definedName>
    <definedName name="Rpt2ActTot" localSheetId="5">#REF!</definedName>
    <definedName name="Rpt2ActTot" localSheetId="8">#REF!</definedName>
    <definedName name="Rpt2ActTot" localSheetId="1">#REF!</definedName>
    <definedName name="Rpt2ActTot" localSheetId="4">#REF!</definedName>
    <definedName name="Rpt2ActTot">#REF!</definedName>
    <definedName name="RPT2ACTTOT1" localSheetId="2">#REF!</definedName>
    <definedName name="RPT2ACTTOT1" localSheetId="5">#REF!</definedName>
    <definedName name="RPT2ACTTOT1" localSheetId="8">#REF!</definedName>
    <definedName name="RPT2ACTTOT1" localSheetId="1">#REF!</definedName>
    <definedName name="RPT2ACTTOT1" localSheetId="4">#REF!</definedName>
    <definedName name="RPT2ACTTOT1">#REF!</definedName>
    <definedName name="Rpt2Var" localSheetId="2">#REF!</definedName>
    <definedName name="Rpt2Var" localSheetId="5">#REF!</definedName>
    <definedName name="Rpt2Var" localSheetId="8">#REF!</definedName>
    <definedName name="Rpt2Var" localSheetId="1">#REF!</definedName>
    <definedName name="Rpt2Var" localSheetId="4">#REF!</definedName>
    <definedName name="Rpt2Var">#REF!</definedName>
    <definedName name="RPT2VAR1" localSheetId="2">#REF!</definedName>
    <definedName name="RPT2VAR1" localSheetId="5">#REF!</definedName>
    <definedName name="RPT2VAR1" localSheetId="8">#REF!</definedName>
    <definedName name="RPT2VAR1" localSheetId="1">#REF!</definedName>
    <definedName name="RPT2VAR1" localSheetId="4">#REF!</definedName>
    <definedName name="RPT2VAR1">#REF!</definedName>
    <definedName name="Rpt2VarTot" localSheetId="2">#REF!</definedName>
    <definedName name="Rpt2VarTot" localSheetId="5">#REF!</definedName>
    <definedName name="Rpt2VarTot" localSheetId="8">#REF!</definedName>
    <definedName name="Rpt2VarTot" localSheetId="1">#REF!</definedName>
    <definedName name="Rpt2VarTot" localSheetId="4">#REF!</definedName>
    <definedName name="Rpt2VarTot">#REF!</definedName>
    <definedName name="RPT2VARTOT3" localSheetId="2">#REF!</definedName>
    <definedName name="RPT2VARTOT3" localSheetId="5">#REF!</definedName>
    <definedName name="RPT2VARTOT3" localSheetId="8">#REF!</definedName>
    <definedName name="RPT2VARTOT3" localSheetId="1">#REF!</definedName>
    <definedName name="RPT2VARTOT3" localSheetId="4">#REF!</definedName>
    <definedName name="RPT2VARTOT3">#REF!</definedName>
    <definedName name="Rpt3EssData" localSheetId="2">#REF!</definedName>
    <definedName name="Rpt3EssData" localSheetId="5">#REF!</definedName>
    <definedName name="Rpt3EssData" localSheetId="8">#REF!</definedName>
    <definedName name="Rpt3EssData" localSheetId="1">#REF!</definedName>
    <definedName name="Rpt3EssData" localSheetId="4">#REF!</definedName>
    <definedName name="Rpt3EssData">#REF!</definedName>
    <definedName name="Rpt6YE" localSheetId="2">#REF!</definedName>
    <definedName name="Rpt6YE" localSheetId="5">#REF!</definedName>
    <definedName name="Rpt6YE" localSheetId="8">#REF!</definedName>
    <definedName name="Rpt6YE" localSheetId="1">#REF!</definedName>
    <definedName name="Rpt6YE" localSheetId="4">#REF!</definedName>
    <definedName name="Rpt6YE">#REF!</definedName>
    <definedName name="RPT6YE3" localSheetId="2">#REF!</definedName>
    <definedName name="RPT6YE3" localSheetId="5">#REF!</definedName>
    <definedName name="RPT6YE3" localSheetId="8">#REF!</definedName>
    <definedName name="RPT6YE3" localSheetId="1">#REF!</definedName>
    <definedName name="RPT6YE3" localSheetId="4">#REF!</definedName>
    <definedName name="RPT6YE3">#REF!</definedName>
    <definedName name="rpt6yea" localSheetId="2">#REF!</definedName>
    <definedName name="rpt6yea" localSheetId="5">#REF!</definedName>
    <definedName name="rpt6yea" localSheetId="8">#REF!</definedName>
    <definedName name="rpt6yea" localSheetId="1">#REF!</definedName>
    <definedName name="rpt6yea" localSheetId="4">#REF!</definedName>
    <definedName name="rpt6yea">#REF!</definedName>
    <definedName name="Rpt6YTD" localSheetId="2">#REF!</definedName>
    <definedName name="Rpt6YTD" localSheetId="5">#REF!</definedName>
    <definedName name="Rpt6YTD" localSheetId="8">#REF!</definedName>
    <definedName name="Rpt6YTD" localSheetId="1">#REF!</definedName>
    <definedName name="Rpt6YTD" localSheetId="4">#REF!</definedName>
    <definedName name="Rpt6YTD">#REF!</definedName>
    <definedName name="RPT6YTD1" localSheetId="2">#REF!</definedName>
    <definedName name="RPT6YTD1" localSheetId="5">#REF!</definedName>
    <definedName name="RPT6YTD1" localSheetId="8">#REF!</definedName>
    <definedName name="RPT6YTD1" localSheetId="1">#REF!</definedName>
    <definedName name="RPT6YTD1" localSheetId="4">#REF!</definedName>
    <definedName name="RPT6YTD1">#REF!</definedName>
    <definedName name="rpt6ytda" localSheetId="2">#REF!</definedName>
    <definedName name="rpt6ytda" localSheetId="5">#REF!</definedName>
    <definedName name="rpt6ytda" localSheetId="8">#REF!</definedName>
    <definedName name="rpt6ytda" localSheetId="1">#REF!</definedName>
    <definedName name="rpt6ytda" localSheetId="4">#REF!</definedName>
    <definedName name="rpt6ytda">#REF!</definedName>
    <definedName name="Rpt8Act" localSheetId="2">#REF!</definedName>
    <definedName name="Rpt8Act" localSheetId="5">#REF!</definedName>
    <definedName name="Rpt8Act" localSheetId="8">#REF!</definedName>
    <definedName name="Rpt8Act" localSheetId="1">#REF!</definedName>
    <definedName name="Rpt8Act" localSheetId="4">#REF!</definedName>
    <definedName name="Rpt8Act">#REF!</definedName>
    <definedName name="Rpt8Bud" localSheetId="2">#REF!</definedName>
    <definedName name="Rpt8Bud" localSheetId="5">#REF!</definedName>
    <definedName name="Rpt8Bud" localSheetId="8">#REF!</definedName>
    <definedName name="Rpt8Bud" localSheetId="1">#REF!</definedName>
    <definedName name="Rpt8Bud" localSheetId="4">#REF!</definedName>
    <definedName name="Rpt8Bud">#REF!</definedName>
    <definedName name="rptdacttota" localSheetId="2">#REF!</definedName>
    <definedName name="rptdacttota" localSheetId="5">#REF!</definedName>
    <definedName name="rptdacttota" localSheetId="8">#REF!</definedName>
    <definedName name="rptdacttota" localSheetId="1">#REF!</definedName>
    <definedName name="rptdacttota" localSheetId="4">#REF!</definedName>
    <definedName name="rptdacttota">#REF!</definedName>
    <definedName name="RptDecBUBud" localSheetId="2">#REF!</definedName>
    <definedName name="RptDecBUBud" localSheetId="5">#REF!</definedName>
    <definedName name="RptDecBUBud" localSheetId="8">#REF!</definedName>
    <definedName name="RptDecBUBud" localSheetId="1">#REF!</definedName>
    <definedName name="RptDecBUBud" localSheetId="4">#REF!</definedName>
    <definedName name="RptDecBUBud">#REF!</definedName>
    <definedName name="rptdecbubuda" localSheetId="2">#REF!</definedName>
    <definedName name="rptdecbubuda" localSheetId="5">#REF!</definedName>
    <definedName name="rptdecbubuda" localSheetId="8">#REF!</definedName>
    <definedName name="rptdecbubuda" localSheetId="1">#REF!</definedName>
    <definedName name="rptdecbubuda" localSheetId="4">#REF!</definedName>
    <definedName name="rptdecbubuda">#REF!</definedName>
    <definedName name="RptDecBud" localSheetId="2">#REF!</definedName>
    <definedName name="RptDecBud" localSheetId="5">#REF!</definedName>
    <definedName name="RptDecBud" localSheetId="8">#REF!</definedName>
    <definedName name="RptDecBud" localSheetId="1">#REF!</definedName>
    <definedName name="RptDecBud" localSheetId="4">#REF!</definedName>
    <definedName name="RptDecBud">#REF!</definedName>
    <definedName name="rpteacta" localSheetId="2">#REF!</definedName>
    <definedName name="rpteacta" localSheetId="5">#REF!</definedName>
    <definedName name="rpteacta" localSheetId="8">#REF!</definedName>
    <definedName name="rpteacta" localSheetId="1">#REF!</definedName>
    <definedName name="rpteacta" localSheetId="4">#REF!</definedName>
    <definedName name="rpteacta">#REF!</definedName>
    <definedName name="rptevara" localSheetId="2">#REF!</definedName>
    <definedName name="rptevara" localSheetId="5">#REF!</definedName>
    <definedName name="rptevara" localSheetId="8">#REF!</definedName>
    <definedName name="rptevara" localSheetId="1">#REF!</definedName>
    <definedName name="rptevara" localSheetId="4">#REF!</definedName>
    <definedName name="rptevara">#REF!</definedName>
    <definedName name="rptevartota" localSheetId="2">#REF!</definedName>
    <definedName name="rptevartota" localSheetId="5">#REF!</definedName>
    <definedName name="rptevartota" localSheetId="8">#REF!</definedName>
    <definedName name="rptevartota" localSheetId="1">#REF!</definedName>
    <definedName name="rptevartota" localSheetId="4">#REF!</definedName>
    <definedName name="rptevartota">#REF!</definedName>
    <definedName name="RptYTDAct" localSheetId="2">#REF!</definedName>
    <definedName name="RptYTDAct" localSheetId="5">#REF!</definedName>
    <definedName name="RptYTDAct" localSheetId="8">#REF!</definedName>
    <definedName name="RptYTDAct" localSheetId="1">#REF!</definedName>
    <definedName name="RptYTDAct" localSheetId="4">#REF!</definedName>
    <definedName name="RptYTDAct">#REF!</definedName>
    <definedName name="rptytdacta" localSheetId="2">#REF!</definedName>
    <definedName name="rptytdacta" localSheetId="5">#REF!</definedName>
    <definedName name="rptytdacta" localSheetId="8">#REF!</definedName>
    <definedName name="rptytdacta" localSheetId="1">#REF!</definedName>
    <definedName name="rptytdacta" localSheetId="4">#REF!</definedName>
    <definedName name="rptytdacta">#REF!</definedName>
    <definedName name="RptYTDBUBud" localSheetId="2">#REF!</definedName>
    <definedName name="RptYTDBUBud" localSheetId="5">#REF!</definedName>
    <definedName name="RptYTDBUBud" localSheetId="8">#REF!</definedName>
    <definedName name="RptYTDBUBud" localSheetId="1">#REF!</definedName>
    <definedName name="RptYTDBUBud" localSheetId="4">#REF!</definedName>
    <definedName name="RptYTDBUBud">#REF!</definedName>
    <definedName name="RPTYTDBUBUD2" localSheetId="2">#REF!</definedName>
    <definedName name="RPTYTDBUBUD2" localSheetId="5">#REF!</definedName>
    <definedName name="RPTYTDBUBUD2" localSheetId="8">#REF!</definedName>
    <definedName name="RPTYTDBUBUD2" localSheetId="1">#REF!</definedName>
    <definedName name="RPTYTDBUBUD2" localSheetId="4">#REF!</definedName>
    <definedName name="RPTYTDBUBUD2">#REF!</definedName>
    <definedName name="rptytdbubuda" localSheetId="2">#REF!</definedName>
    <definedName name="rptytdbubuda" localSheetId="5">#REF!</definedName>
    <definedName name="rptytdbubuda" localSheetId="8">#REF!</definedName>
    <definedName name="rptytdbubuda" localSheetId="1">#REF!</definedName>
    <definedName name="rptytdbubuda" localSheetId="4">#REF!</definedName>
    <definedName name="rptytdbubuda">#REF!</definedName>
    <definedName name="rr" localSheetId="2" hidden="1">{"Oct95_Mar96",#N/A,FALSE,"Oct 95 - Mar 96"}</definedName>
    <definedName name="rr" localSheetId="5" hidden="1">{"Oct95_Mar96",#N/A,FALSE,"Oct 95 - Mar 96"}</definedName>
    <definedName name="rr" localSheetId="7" hidden="1">{"Oct95_Mar96",#N/A,FALSE,"Oct 95 - Mar 96"}</definedName>
    <definedName name="rr" localSheetId="8" hidden="1">{"Oct95_Mar96",#N/A,FALSE,"Oct 95 - Mar 96"}</definedName>
    <definedName name="rr" localSheetId="1" hidden="1">{"Oct95_Mar96",#N/A,FALSE,"Oct 95 - Mar 96"}</definedName>
    <definedName name="rr" localSheetId="6" hidden="1">{"Oct95_Mar96",#N/A,FALSE,"Oct 95 - Mar 96"}</definedName>
    <definedName name="rr" localSheetId="9" hidden="1">{"Oct95_Mar96",#N/A,FALSE,"Oct 95 - Mar 96"}</definedName>
    <definedName name="rr" hidden="1">{"Oct95_Mar96",#N/A,FALSE,"Oct 95 - Mar 96"}</definedName>
    <definedName name="rs_demand" localSheetId="2">#REF!</definedName>
    <definedName name="rs_demand" localSheetId="5">#REF!</definedName>
    <definedName name="rs_demand" localSheetId="8">#REF!</definedName>
    <definedName name="rs_demand" localSheetId="1">#REF!</definedName>
    <definedName name="rs_demand" localSheetId="4">#REF!</definedName>
    <definedName name="rs_demand" localSheetId="9">#REF!</definedName>
    <definedName name="rs_demand">#REF!</definedName>
    <definedName name="rs_energy" localSheetId="2">#REF!</definedName>
    <definedName name="rs_energy" localSheetId="5">#REF!</definedName>
    <definedName name="rs_energy" localSheetId="8">#REF!</definedName>
    <definedName name="rs_energy" localSheetId="1">#REF!</definedName>
    <definedName name="rs_energy" localSheetId="4">#REF!</definedName>
    <definedName name="rs_energy">#REF!</definedName>
    <definedName name="rslc_demand" localSheetId="2">#REF!</definedName>
    <definedName name="rslc_demand" localSheetId="5">#REF!</definedName>
    <definedName name="rslc_demand" localSheetId="8">#REF!</definedName>
    <definedName name="rslc_demand" localSheetId="1">#REF!</definedName>
    <definedName name="rslc_demand" localSheetId="4">#REF!</definedName>
    <definedName name="rslc_demand">#REF!</definedName>
    <definedName name="rslc_energy" localSheetId="2">#REF!</definedName>
    <definedName name="rslc_energy" localSheetId="5">#REF!</definedName>
    <definedName name="rslc_energy" localSheetId="8">#REF!</definedName>
    <definedName name="rslc_energy" localSheetId="1">#REF!</definedName>
    <definedName name="rslc_energy" localSheetId="4">#REF!</definedName>
    <definedName name="rslc_energy">#REF!</definedName>
    <definedName name="rsr_demand" localSheetId="2">#REF!</definedName>
    <definedName name="rsr_demand" localSheetId="5">#REF!</definedName>
    <definedName name="rsr_demand" localSheetId="8">#REF!</definedName>
    <definedName name="rsr_demand" localSheetId="1">#REF!</definedName>
    <definedName name="rsr_demand" localSheetId="4">#REF!</definedName>
    <definedName name="rsr_demand">#REF!</definedName>
    <definedName name="rsr_energy" localSheetId="2">#REF!</definedName>
    <definedName name="rsr_energy" localSheetId="5">#REF!</definedName>
    <definedName name="rsr_energy" localSheetId="8">#REF!</definedName>
    <definedName name="rsr_energy" localSheetId="1">#REF!</definedName>
    <definedName name="rsr_energy" localSheetId="4">#REF!</definedName>
    <definedName name="rsr_energy">#REF!</definedName>
    <definedName name="RTSLABEL" localSheetId="2">#REF!</definedName>
    <definedName name="RTSLABEL" localSheetId="5">#REF!</definedName>
    <definedName name="RTSLABEL" localSheetId="8">#REF!</definedName>
    <definedName name="RTSLABEL" localSheetId="1">#REF!</definedName>
    <definedName name="RTSLABEL" localSheetId="4">#REF!</definedName>
    <definedName name="RTSLABEL">#REF!</definedName>
    <definedName name="s">#REF!</definedName>
    <definedName name="s_year" localSheetId="9">#REF!</definedName>
    <definedName name="s_year">#REF!</definedName>
    <definedName name="S1V76" localSheetId="9">#REF!</definedName>
    <definedName name="S1V76">#REF!</definedName>
    <definedName name="sada" localSheetId="2" hidden="1">{"summary",#N/A,FALSE,"PCR DIRECTORY"}</definedName>
    <definedName name="sada" localSheetId="5" hidden="1">{"summary",#N/A,FALSE,"PCR DIRECTORY"}</definedName>
    <definedName name="sada" localSheetId="7" hidden="1">{"summary",#N/A,FALSE,"PCR DIRECTORY"}</definedName>
    <definedName name="sada" localSheetId="8" hidden="1">{"summary",#N/A,FALSE,"PCR DIRECTORY"}</definedName>
    <definedName name="sada" localSheetId="1" hidden="1">{"summary",#N/A,FALSE,"PCR DIRECTORY"}</definedName>
    <definedName name="sada" localSheetId="4" hidden="1">{"summary",#N/A,FALSE,"PCR DIRECTORY"}</definedName>
    <definedName name="sada" localSheetId="6" hidden="1">{"summary",#N/A,FALSE,"PCR DIRECTORY"}</definedName>
    <definedName name="sada" localSheetId="9" hidden="1">{"summary",#N/A,FALSE,"PCR DIRECTORY"}</definedName>
    <definedName name="sada" hidden="1">{"summary",#N/A,FALSE,"PCR DIRECTORY"}</definedName>
    <definedName name="sal_table" localSheetId="9">#REF!</definedName>
    <definedName name="sal_table">#REF!</definedName>
    <definedName name="SALES" localSheetId="9">#REF!</definedName>
    <definedName name="SALES">#REF!</definedName>
    <definedName name="SAP" hidden="1">"3VOBL88ZUH0TJHQP6RXNFLORZ"</definedName>
    <definedName name="SAPBEXdnldView" hidden="1">"1XUJJFJ8R5QV7UA197R4V9JX3"</definedName>
    <definedName name="SAPBEXhrIndnt" hidden="1">"Wide"</definedName>
    <definedName name="SAPBEXrevision" hidden="1">0</definedName>
    <definedName name="SAPBEXrevision_1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 localSheetId="5">#REF!</definedName>
    <definedName name="SC" localSheetId="4">#REF!</definedName>
    <definedName name="SC">#REF!</definedName>
    <definedName name="Scale" localSheetId="2">#REF!</definedName>
    <definedName name="Scale" localSheetId="5">#REF!</definedName>
    <definedName name="Scale" localSheetId="8">#REF!</definedName>
    <definedName name="Scale" localSheetId="1">#REF!</definedName>
    <definedName name="Scale" localSheetId="4">#REF!</definedName>
    <definedName name="Scale" localSheetId="9">#REF!</definedName>
    <definedName name="Scale">#REF!</definedName>
    <definedName name="SCH" localSheetId="9">#REF!</definedName>
    <definedName name="SCH">#REF!</definedName>
    <definedName name="SCHC22P1" localSheetId="9">#REF!</definedName>
    <definedName name="SCHC22P1">#REF!</definedName>
    <definedName name="SCHC22P2" localSheetId="9">#REF!</definedName>
    <definedName name="SCHC22P2">#REF!</definedName>
    <definedName name="Selected_Unit" localSheetId="2">#REF!</definedName>
    <definedName name="Selected_Unit" localSheetId="5">#REF!</definedName>
    <definedName name="Selected_Unit" localSheetId="8">#REF!</definedName>
    <definedName name="Selected_Unit" localSheetId="1">#REF!</definedName>
    <definedName name="Selected_Unit" localSheetId="4">#REF!</definedName>
    <definedName name="Selected_Unit" localSheetId="9">#REF!</definedName>
    <definedName name="Selected_Unit">#REF!</definedName>
    <definedName name="sencount" hidden="1">1</definedName>
    <definedName name="Server" localSheetId="9">#REF!</definedName>
    <definedName name="Server">#REF!</definedName>
    <definedName name="SFASO" localSheetId="5">#REF!</definedName>
    <definedName name="SFASO" localSheetId="4">#REF!</definedName>
    <definedName name="SFASO">#REF!</definedName>
    <definedName name="Signup1" localSheetId="2">#REF!</definedName>
    <definedName name="Signup1" localSheetId="5">#REF!</definedName>
    <definedName name="Signup1" localSheetId="8">#REF!</definedName>
    <definedName name="Signup1" localSheetId="1">#REF!</definedName>
    <definedName name="Signup1" localSheetId="4">#REF!</definedName>
    <definedName name="Signup1" localSheetId="9">#REF!</definedName>
    <definedName name="Signup1">#REF!</definedName>
    <definedName name="Signup10" localSheetId="2">#REF!</definedName>
    <definedName name="Signup10" localSheetId="5">#REF!</definedName>
    <definedName name="Signup10" localSheetId="8">#REF!</definedName>
    <definedName name="Signup10" localSheetId="1">#REF!</definedName>
    <definedName name="Signup10" localSheetId="4">#REF!</definedName>
    <definedName name="Signup10" localSheetId="9">#REF!</definedName>
    <definedName name="Signup10">#REF!</definedName>
    <definedName name="Signup2" localSheetId="5">#REF!</definedName>
    <definedName name="Signup2" localSheetId="4">#REF!</definedName>
    <definedName name="Signup2" localSheetId="9">#REF!</definedName>
    <definedName name="Signup2">#REF!</definedName>
    <definedName name="Signup3" localSheetId="5">#REF!</definedName>
    <definedName name="Signup3" localSheetId="4">#REF!</definedName>
    <definedName name="Signup3" localSheetId="9">#REF!</definedName>
    <definedName name="Signup3">#REF!</definedName>
    <definedName name="Signup4" localSheetId="5">#REF!</definedName>
    <definedName name="Signup4" localSheetId="4">#REF!</definedName>
    <definedName name="Signup4" localSheetId="9">#REF!</definedName>
    <definedName name="Signup4">#REF!</definedName>
    <definedName name="Signup5" localSheetId="5">#REF!</definedName>
    <definedName name="Signup5" localSheetId="4">#REF!</definedName>
    <definedName name="Signup5" localSheetId="9">#REF!</definedName>
    <definedName name="Signup5">#REF!</definedName>
    <definedName name="Signup6" localSheetId="5">#REF!</definedName>
    <definedName name="Signup6" localSheetId="4">#REF!</definedName>
    <definedName name="Signup6" localSheetId="9">#REF!</definedName>
    <definedName name="Signup6">#REF!</definedName>
    <definedName name="Signup7" localSheetId="5">#REF!</definedName>
    <definedName name="Signup7" localSheetId="4">#REF!</definedName>
    <definedName name="Signup7" localSheetId="9">#REF!</definedName>
    <definedName name="Signup7">#REF!</definedName>
    <definedName name="Signup8" localSheetId="5">#REF!</definedName>
    <definedName name="Signup8" localSheetId="4">#REF!</definedName>
    <definedName name="Signup8" localSheetId="9">#REF!</definedName>
    <definedName name="Signup8">#REF!</definedName>
    <definedName name="Signup9" localSheetId="5">#REF!</definedName>
    <definedName name="Signup9" localSheetId="4">#REF!</definedName>
    <definedName name="Signup9" localSheetId="9">#REF!</definedName>
    <definedName name="Signup9">#REF!</definedName>
    <definedName name="Sites" localSheetId="2" hidden="1">{#N/A,#N/A,TRUE,"TOTAL DISTRIBUTION";#N/A,#N/A,TRUE,"SOUTH";#N/A,#N/A,TRUE,"NORTHEAST";#N/A,#N/A,TRUE,"WEST"}</definedName>
    <definedName name="Sites" localSheetId="8" hidden="1">{#N/A,#N/A,TRUE,"TOTAL DISTRIBUTION";#N/A,#N/A,TRUE,"SOUTH";#N/A,#N/A,TRUE,"NORTHEAST";#N/A,#N/A,TRUE,"WEST"}</definedName>
    <definedName name="Sites" localSheetId="9" hidden="1">{#N/A,#N/A,TRUE,"TOTAL DISTRIBUTION";#N/A,#N/A,TRUE,"SOUTH";#N/A,#N/A,TRUE,"NORTHEAST";#N/A,#N/A,TRUE,"WEST"}</definedName>
    <definedName name="Sites" hidden="1">{#N/A,#N/A,TRUE,"TOTAL DISTRIBUTION";#N/A,#N/A,TRUE,"SOUTH";#N/A,#N/A,TRUE,"NORTHEAST";#N/A,#N/A,TRUE,"WEST"}</definedName>
    <definedName name="Sitesdate" localSheetId="2" hidden="1">{#N/A,#N/A,TRUE,"TOTAL DSBN";#N/A,#N/A,TRUE,"WEST";#N/A,#N/A,TRUE,"SOUTH";#N/A,#N/A,TRUE,"NORTHEAST"}</definedName>
    <definedName name="Sitesdate" localSheetId="8" hidden="1">{#N/A,#N/A,TRUE,"TOTAL DSBN";#N/A,#N/A,TRUE,"WEST";#N/A,#N/A,TRUE,"SOUTH";#N/A,#N/A,TRUE,"NORTHEAST"}</definedName>
    <definedName name="Sitesdate" localSheetId="9" hidden="1">{#N/A,#N/A,TRUE,"TOTAL DSBN";#N/A,#N/A,TRUE,"WEST";#N/A,#N/A,TRUE,"SOUTH";#N/A,#N/A,TRUE,"NORTHEAST"}</definedName>
    <definedName name="Sitesdate" hidden="1">{#N/A,#N/A,TRUE,"TOTAL DSBN";#N/A,#N/A,TRUE,"WEST";#N/A,#N/A,TRUE,"SOUTH";#N/A,#N/A,TRUE,"NORTHEAST"}</definedName>
    <definedName name="sl2_demand" localSheetId="2">#REF!</definedName>
    <definedName name="sl2_demand" localSheetId="5">#REF!</definedName>
    <definedName name="sl2_demand" localSheetId="8">#REF!</definedName>
    <definedName name="sl2_demand" localSheetId="1">#REF!</definedName>
    <definedName name="sl2_demand" localSheetId="4">#REF!</definedName>
    <definedName name="sl2_demand" localSheetId="9">#REF!</definedName>
    <definedName name="sl2_demand">#REF!</definedName>
    <definedName name="sl2_energy" localSheetId="2">#REF!</definedName>
    <definedName name="sl2_energy" localSheetId="5">#REF!</definedName>
    <definedName name="sl2_energy" localSheetId="8">#REF!</definedName>
    <definedName name="sl2_energy" localSheetId="1">#REF!</definedName>
    <definedName name="sl2_energy" localSheetId="4">#REF!</definedName>
    <definedName name="sl2_energy">#REF!</definedName>
    <definedName name="SO2_rate" localSheetId="2">#REF!</definedName>
    <definedName name="SO2_rate" localSheetId="5">#REF!</definedName>
    <definedName name="SO2_rate" localSheetId="8">#REF!</definedName>
    <definedName name="SO2_rate" localSheetId="1">#REF!</definedName>
    <definedName name="SO2_rate" localSheetId="4">#REF!</definedName>
    <definedName name="SO2_rate">#REF!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 localSheetId="2">#REF!</definedName>
    <definedName name="Sort_Command" localSheetId="5">#REF!</definedName>
    <definedName name="Sort_Command" localSheetId="8">#REF!</definedName>
    <definedName name="Sort_Command" localSheetId="1">#REF!</definedName>
    <definedName name="Sort_Command" localSheetId="4">#REF!</definedName>
    <definedName name="Sort_Command" localSheetId="9">#REF!</definedName>
    <definedName name="Sort_Command">#REF!</definedName>
    <definedName name="SOUTH" localSheetId="9">#REF!</definedName>
    <definedName name="SOUTH">#REF!</definedName>
    <definedName name="South_Central" localSheetId="5">#REF!</definedName>
    <definedName name="South_Central" localSheetId="4">#REF!</definedName>
    <definedName name="South_Central">#REF!</definedName>
    <definedName name="Southern" localSheetId="5">#REF!</definedName>
    <definedName name="Southern" localSheetId="4">#REF!</definedName>
    <definedName name="Southern">#REF!</definedName>
    <definedName name="SRCA" localSheetId="9">#REF!</definedName>
    <definedName name="SRCA">#REF!</definedName>
    <definedName name="SRCM" localSheetId="9">#REF!</definedName>
    <definedName name="SRCM">#REF!</definedName>
    <definedName name="Start_Yr" localSheetId="2">#REF!</definedName>
    <definedName name="Start_Yr" localSheetId="5">#REF!</definedName>
    <definedName name="Start_Yr" localSheetId="8">#REF!</definedName>
    <definedName name="Start_Yr" localSheetId="1">#REF!</definedName>
    <definedName name="Start_Yr" localSheetId="4">#REF!</definedName>
    <definedName name="Start_Yr">#REF!</definedName>
    <definedName name="Startup_cost" localSheetId="2">#REF!</definedName>
    <definedName name="Startup_cost" localSheetId="5">#REF!</definedName>
    <definedName name="Startup_cost" localSheetId="8">#REF!</definedName>
    <definedName name="Startup_cost" localSheetId="1">#REF!</definedName>
    <definedName name="Startup_cost" localSheetId="4">#REF!</definedName>
    <definedName name="Startup_cost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" localSheetId="9">#REF!</definedName>
    <definedName name="STATUS">#REF!</definedName>
    <definedName name="Status1" localSheetId="9">#REF!</definedName>
    <definedName name="Status1">#REF!</definedName>
    <definedName name="Stratification_of_Cost" localSheetId="9">#REF!</definedName>
    <definedName name="Stratification_of_Cost">#REF!</definedName>
    <definedName name="SUB" localSheetId="9">#REF!</definedName>
    <definedName name="SUB">#REF!</definedName>
    <definedName name="SUBSEQUENT_YEAR_DATE" localSheetId="9">#REF!</definedName>
    <definedName name="SUBSEQUENT_YEAR_DATE">#REF!</definedName>
    <definedName name="SUBSEQUENT_YEAR_X" localSheetId="9">#REF!</definedName>
    <definedName name="SUBSEQUENT_YEAR_X">#REF!</definedName>
    <definedName name="SUE" localSheetId="2" hidden="1">{#N/A,#N/A,TRUE,"TOTAL DISTRIBUTION";#N/A,#N/A,TRUE,"SOUTH";#N/A,#N/A,TRUE,"NORTHEAST";#N/A,#N/A,TRUE,"WEST"}</definedName>
    <definedName name="SUE" localSheetId="8" hidden="1">{#N/A,#N/A,TRUE,"TOTAL DISTRIBUTION";#N/A,#N/A,TRUE,"SOUTH";#N/A,#N/A,TRUE,"NORTHEAST";#N/A,#N/A,TRUE,"WEST"}</definedName>
    <definedName name="SUE" localSheetId="9" hidden="1">{#N/A,#N/A,TRUE,"TOTAL DISTRIBUTION";#N/A,#N/A,TRUE,"SOUTH";#N/A,#N/A,TRUE,"NORTHEAST";#N/A,#N/A,TRUE,"WEST"}</definedName>
    <definedName name="SUE" hidden="1">{#N/A,#N/A,TRUE,"TOTAL DISTRIBUTION";#N/A,#N/A,TRUE,"SOUTH";#N/A,#N/A,TRUE,"NORTHEAST";#N/A,#N/A,TRUE,"WEST"}</definedName>
    <definedName name="SUMMARY">#REF!</definedName>
    <definedName name="SumUDA">#REF!</definedName>
    <definedName name="Supp_Command" localSheetId="2">#REF!</definedName>
    <definedName name="Supp_Command" localSheetId="5">#REF!</definedName>
    <definedName name="Supp_Command" localSheetId="8">#REF!</definedName>
    <definedName name="Supp_Command" localSheetId="1">#REF!</definedName>
    <definedName name="Supp_Command" localSheetId="4">#REF!</definedName>
    <definedName name="Supp_Command" localSheetId="9">#REF!</definedName>
    <definedName name="Supp_Command">#REF!</definedName>
    <definedName name="t" localSheetId="2">#REF!</definedName>
    <definedName name="t" localSheetId="5">#REF!</definedName>
    <definedName name="t" localSheetId="8">#REF!</definedName>
    <definedName name="t" localSheetId="1">#REF!</definedName>
    <definedName name="t" localSheetId="4">#REF!</definedName>
    <definedName name="t" localSheetId="9">#REF!</definedName>
    <definedName name="t">#REF!</definedName>
    <definedName name="TAMI" localSheetId="2" hidden="1">{"summary",#N/A,FALSE,"PCR DIRECTORY"}</definedName>
    <definedName name="TAMI" localSheetId="5" hidden="1">{"summary",#N/A,FALSE,"PCR DIRECTORY"}</definedName>
    <definedName name="TAMI" localSheetId="7" hidden="1">{"summary",#N/A,FALSE,"PCR DIRECTORY"}</definedName>
    <definedName name="TAMI" localSheetId="8" hidden="1">{"summary",#N/A,FALSE,"PCR DIRECTORY"}</definedName>
    <definedName name="TAMI" localSheetId="1" hidden="1">{"summary",#N/A,FALSE,"PCR DIRECTORY"}</definedName>
    <definedName name="TAMI" localSheetId="4" hidden="1">{"summary",#N/A,FALSE,"PCR DIRECTORY"}</definedName>
    <definedName name="TAMI" localSheetId="6" hidden="1">{"summary",#N/A,FALSE,"PCR DIRECTORY"}</definedName>
    <definedName name="TAMI" localSheetId="9" hidden="1">{"summary",#N/A,FALSE,"PCR DIRECTORY"}</definedName>
    <definedName name="TAMI" hidden="1">{"summary",#N/A,FALSE,"PCR DIRECTORY"}</definedName>
    <definedName name="Target_Comparison" localSheetId="2" hidden="1">{"Part1",#N/A,FALSE,"BC_RECOM";"Part2",#N/A,FALSE,"BC_RECOM"}</definedName>
    <definedName name="Target_Comparison" localSheetId="8" hidden="1">{"Part1",#N/A,FALSE,"BC_RECOM";"Part2",#N/A,FALSE,"BC_RECOM"}</definedName>
    <definedName name="Target_Comparison" localSheetId="9" hidden="1">{"Part1",#N/A,FALSE,"BC_RECOM";"Part2",#N/A,FALSE,"BC_RECOM"}</definedName>
    <definedName name="Target_Comparison" hidden="1">{"Part1",#N/A,FALSE,"BC_RECOM";"Part2",#N/A,FALSE,"BC_RECOM"}</definedName>
    <definedName name="teast" localSheetId="2" hidden="1">{#N/A,#N/A,TRUE,"TOTAL DSBN";#N/A,#N/A,TRUE,"WEST";#N/A,#N/A,TRUE,"SOUTH";#N/A,#N/A,TRUE,"NORTHEAST"}</definedName>
    <definedName name="teast" localSheetId="8" hidden="1">{#N/A,#N/A,TRUE,"TOTAL DSBN";#N/A,#N/A,TRUE,"WEST";#N/A,#N/A,TRUE,"SOUTH";#N/A,#N/A,TRUE,"NORTHEAST"}</definedName>
    <definedName name="teast" localSheetId="9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mp" localSheetId="5">#REF!</definedName>
    <definedName name="temp" localSheetId="4">#REF!</definedName>
    <definedName name="temp" localSheetId="9">#REF!</definedName>
    <definedName name="temp">#REF!</definedName>
    <definedName name="Temp1" localSheetId="2" hidden="1">{"EXCELHLP.HLP!1802";5;10;5;10;13;13;13;8;5;5;10;14;13;13;13;13;5;10;14;13;5;10;1;2;24}</definedName>
    <definedName name="Temp1" localSheetId="5" hidden="1">{"EXCELHLP.HLP!1802";5;10;5;10;13;13;13;8;5;5;10;14;13;13;13;13;5;10;14;13;5;10;1;2;24}</definedName>
    <definedName name="Temp1" localSheetId="7" hidden="1">{"EXCELHLP.HLP!1802";5;10;5;10;13;13;13;8;5;5;10;14;13;13;13;13;5;10;14;13;5;10;1;2;24}</definedName>
    <definedName name="Temp1" localSheetId="8" hidden="1">{"EXCELHLP.HLP!1802";5;10;5;10;13;13;13;8;5;5;10;14;13;13;13;13;5;10;14;13;5;10;1;2;24}</definedName>
    <definedName name="Temp1" localSheetId="1" hidden="1">{"EXCELHLP.HLP!1802";5;10;5;10;13;13;13;8;5;5;10;14;13;13;13;13;5;10;14;13;5;10;1;2;24}</definedName>
    <definedName name="Temp1" localSheetId="4" hidden="1">{"EXCELHLP.HLP!1802";5;10;5;10;13;13;13;8;5;5;10;14;13;13;13;13;5;10;14;13;5;10;1;2;24}</definedName>
    <definedName name="Temp1" localSheetId="6" hidden="1">{"EXCELHLP.HLP!1802";5;10;5;10;13;13;13;8;5;5;10;14;13;13;13;13;5;10;14;13;5;10;1;2;24}</definedName>
    <definedName name="Temp1" localSheetId="9" hidden="1">{"EXCELHLP.HLP!1802";5;10;5;10;13;13;13;8;5;5;10;14;13;13;13;13;5;10;14;13;5;10;1;2;24}</definedName>
    <definedName name="Temp1" hidden="1">{"EXCELHLP.HLP!1802";5;10;5;10;13;13;13;8;5;5;10;14;13;13;13;13;5;10;14;13;5;10;1;2;24}</definedName>
    <definedName name="temp2" localSheetId="2" hidden="1">{2;#N/A;"R13C16:R17C16";#N/A;"R13C14:R17C15";FALSE;FALSE;FALSE;95;#N/A;#N/A;"R13C19";#N/A;FALSE;FALSE;FALSE;FALSE;#N/A;"";#N/A;FALSE;"";"";#N/A;#N/A;#N/A}</definedName>
    <definedName name="temp2" localSheetId="5" hidden="1">{2;#N/A;"R13C16:R17C16";#N/A;"R13C14:R17C15";FALSE;FALSE;FALSE;95;#N/A;#N/A;"R13C19";#N/A;FALSE;FALSE;FALSE;FALSE;#N/A;"";#N/A;FALSE;"";"";#N/A;#N/A;#N/A}</definedName>
    <definedName name="temp2" localSheetId="7" hidden="1">{2;#N/A;"R13C16:R17C16";#N/A;"R13C14:R17C15";FALSE;FALSE;FALSE;95;#N/A;#N/A;"R13C19";#N/A;FALSE;FALSE;FALSE;FALSE;#N/A;"";#N/A;FALSE;"";"";#N/A;#N/A;#N/A}</definedName>
    <definedName name="temp2" localSheetId="8" hidden="1">{2;#N/A;"R13C16:R17C16";#N/A;"R13C14:R17C15";FALSE;FALSE;FALSE;95;#N/A;#N/A;"R13C19";#N/A;FALSE;FALSE;FALSE;FALSE;#N/A;"";#N/A;FALSE;"";"";#N/A;#N/A;#N/A}</definedName>
    <definedName name="temp2" localSheetId="1" hidden="1">{2;#N/A;"R13C16:R17C16";#N/A;"R13C14:R17C15";FALSE;FALSE;FALSE;95;#N/A;#N/A;"R13C19";#N/A;FALSE;FALSE;FALSE;FALSE;#N/A;"";#N/A;FALSE;"";"";#N/A;#N/A;#N/A}</definedName>
    <definedName name="temp2" localSheetId="4" hidden="1">{2;#N/A;"R13C16:R17C16";#N/A;"R13C14:R17C15";FALSE;FALSE;FALSE;95;#N/A;#N/A;"R13C19";#N/A;FALSE;FALSE;FALSE;FALSE;#N/A;"";#N/A;FALSE;"";"";#N/A;#N/A;#N/A}</definedName>
    <definedName name="temp2" localSheetId="6" hidden="1">{2;#N/A;"R13C16:R17C16";#N/A;"R13C14:R17C15";FALSE;FALSE;FALSE;95;#N/A;#N/A;"R13C19";#N/A;FALSE;FALSE;FALSE;FALSE;#N/A;"";#N/A;FALSE;"";"";#N/A;#N/A;#N/A}</definedName>
    <definedName name="temp2" localSheetId="9" hidden="1">{2;#N/A;"R13C16:R17C16";#N/A;"R13C14:R17C15";FALSE;FALSE;FALSE;95;#N/A;#N/A;"R13C19";#N/A;FALSE;FALSE;FALSE;FALSE;#N/A;"";#N/A;FALSE;"";"";#N/A;#N/A;#N/A}</definedName>
    <definedName name="temp2" hidden="1">{2;#N/A;"R13C16:R17C16";#N/A;"R13C14:R17C15";FALSE;FALSE;FALSE;95;#N/A;#N/A;"R13C19";#N/A;FALSE;FALSE;FALSE;FALSE;#N/A;"";#N/A;FALSE;"";"";#N/A;#N/A;#N/A}</definedName>
    <definedName name="temp3" localSheetId="2" hidden="1">{"EXCELHLP.HLP!1802";5;10;5;10;13;13;13;8;5;5;10;14;13;13;13;13;5;10;14;13;5;10;1;2;24}</definedName>
    <definedName name="temp3" localSheetId="5" hidden="1">{"EXCELHLP.HLP!1802";5;10;5;10;13;13;13;8;5;5;10;14;13;13;13;13;5;10;14;13;5;10;1;2;24}</definedName>
    <definedName name="temp3" localSheetId="7" hidden="1">{"EXCELHLP.HLP!1802";5;10;5;10;13;13;13;8;5;5;10;14;13;13;13;13;5;10;14;13;5;10;1;2;24}</definedName>
    <definedName name="temp3" localSheetId="8" hidden="1">{"EXCELHLP.HLP!1802";5;10;5;10;13;13;13;8;5;5;10;14;13;13;13;13;5;10;14;13;5;10;1;2;24}</definedName>
    <definedName name="temp3" localSheetId="1" hidden="1">{"EXCELHLP.HLP!1802";5;10;5;10;13;13;13;8;5;5;10;14;13;13;13;13;5;10;14;13;5;10;1;2;24}</definedName>
    <definedName name="temp3" localSheetId="4" hidden="1">{"EXCELHLP.HLP!1802";5;10;5;10;13;13;13;8;5;5;10;14;13;13;13;13;5;10;14;13;5;10;1;2;24}</definedName>
    <definedName name="temp3" localSheetId="6" hidden="1">{"EXCELHLP.HLP!1802";5;10;5;10;13;13;13;8;5;5;10;14;13;13;13;13;5;10;14;13;5;10;1;2;24}</definedName>
    <definedName name="temp3" localSheetId="9" hidden="1">{"EXCELHLP.HLP!1802";5;10;5;10;13;13;13;8;5;5;10;14;13;13;13;13;5;10;14;13;5;10;1;2;24}</definedName>
    <definedName name="temp3" hidden="1">{"EXCELHLP.HLP!1802";5;10;5;10;13;13;13;8;5;5;10;14;13;13;13;13;5;10;14;13;5;10;1;2;24}</definedName>
    <definedName name="temp4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 localSheetId="2">#REF!</definedName>
    <definedName name="tesa_demand" localSheetId="5">#REF!</definedName>
    <definedName name="tesa_demand" localSheetId="8">#REF!</definedName>
    <definedName name="tesa_demand" localSheetId="1">#REF!</definedName>
    <definedName name="tesa_demand" localSheetId="4">#REF!</definedName>
    <definedName name="tesa_demand" localSheetId="9">#REF!</definedName>
    <definedName name="tesa_demand">#REF!</definedName>
    <definedName name="tesa_energy" localSheetId="2">#REF!</definedName>
    <definedName name="tesa_energy" localSheetId="5">#REF!</definedName>
    <definedName name="tesa_energy" localSheetId="8">#REF!</definedName>
    <definedName name="tesa_energy" localSheetId="1">#REF!</definedName>
    <definedName name="tesa_energy" localSheetId="4">#REF!</definedName>
    <definedName name="tesa_energy">#REF!</definedName>
    <definedName name="tesb_demand" localSheetId="2">#REF!</definedName>
    <definedName name="tesb_demand" localSheetId="5">#REF!</definedName>
    <definedName name="tesb_demand" localSheetId="8">#REF!</definedName>
    <definedName name="tesb_demand" localSheetId="1">#REF!</definedName>
    <definedName name="tesb_demand" localSheetId="4">#REF!</definedName>
    <definedName name="tesb_demand">#REF!</definedName>
    <definedName name="tesb_energy" localSheetId="2">#REF!</definedName>
    <definedName name="tesb_energy" localSheetId="5">#REF!</definedName>
    <definedName name="tesb_energy" localSheetId="8">#REF!</definedName>
    <definedName name="tesb_energy" localSheetId="1">#REF!</definedName>
    <definedName name="tesb_energy" localSheetId="4">#REF!</definedName>
    <definedName name="tesb_energy">#REF!</definedName>
    <definedName name="tesc_demand" localSheetId="2">#REF!</definedName>
    <definedName name="tesc_demand" localSheetId="5">#REF!</definedName>
    <definedName name="tesc_demand" localSheetId="8">#REF!</definedName>
    <definedName name="tesc_demand" localSheetId="1">#REF!</definedName>
    <definedName name="tesc_demand" localSheetId="4">#REF!</definedName>
    <definedName name="tesc_demand">#REF!</definedName>
    <definedName name="tesc_energy" localSheetId="2">#REF!</definedName>
    <definedName name="tesc_energy" localSheetId="5">#REF!</definedName>
    <definedName name="tesc_energy" localSheetId="8">#REF!</definedName>
    <definedName name="tesc_energy" localSheetId="1">#REF!</definedName>
    <definedName name="tesc_energy" localSheetId="4">#REF!</definedName>
    <definedName name="tesc_energy">#REF!</definedName>
    <definedName name="tescr_demand" localSheetId="2">#REF!</definedName>
    <definedName name="tescr_demand" localSheetId="5">#REF!</definedName>
    <definedName name="tescr_demand" localSheetId="8">#REF!</definedName>
    <definedName name="tescr_demand" localSheetId="1">#REF!</definedName>
    <definedName name="tescr_demand" localSheetId="4">#REF!</definedName>
    <definedName name="tescr_demand">#REF!</definedName>
    <definedName name="tescr_energy" localSheetId="2">#REF!</definedName>
    <definedName name="tescr_energy" localSheetId="5">#REF!</definedName>
    <definedName name="tescr_energy" localSheetId="8">#REF!</definedName>
    <definedName name="tescr_energy" localSheetId="1">#REF!</definedName>
    <definedName name="tescr_energy" localSheetId="4">#REF!</definedName>
    <definedName name="tescr_energy">#REF!</definedName>
    <definedName name="tesd_demand" localSheetId="2">#REF!</definedName>
    <definedName name="tesd_demand" localSheetId="5">#REF!</definedName>
    <definedName name="tesd_demand" localSheetId="8">#REF!</definedName>
    <definedName name="tesd_demand" localSheetId="1">#REF!</definedName>
    <definedName name="tesd_demand" localSheetId="4">#REF!</definedName>
    <definedName name="tesd_demand">#REF!</definedName>
    <definedName name="tesd_energy" localSheetId="2">#REF!</definedName>
    <definedName name="tesd_energy" localSheetId="5">#REF!</definedName>
    <definedName name="tesd_energy" localSheetId="8">#REF!</definedName>
    <definedName name="tesd_energy" localSheetId="1">#REF!</definedName>
    <definedName name="tesd_energy" localSheetId="4">#REF!</definedName>
    <definedName name="tesd_energy">#REF!</definedName>
    <definedName name="test" localSheetId="2" hidden="1">{"detail305",#N/A,FALSE,"BI-305"}</definedName>
    <definedName name="test" localSheetId="8" hidden="1">{"detail305",#N/A,FALSE,"BI-305"}</definedName>
    <definedName name="test" localSheetId="9" hidden="1">{"detail305",#N/A,FALSE,"BI-305"}</definedName>
    <definedName name="test" hidden="1">{"detail305",#N/A,FALSE,"BI-305"}</definedName>
    <definedName name="test." localSheetId="2" hidden="1">{#N/A,#N/A,TRUE,"TOTAL DISTRIBUTION";#N/A,#N/A,TRUE,"SOUTH";#N/A,#N/A,TRUE,"NORTHEAST";#N/A,#N/A,TRUE,"WEST"}</definedName>
    <definedName name="test." localSheetId="8" hidden="1">{#N/A,#N/A,TRUE,"TOTAL DISTRIBUTION";#N/A,#N/A,TRUE,"SOUTH";#N/A,#N/A,TRUE,"NORTHEAST";#N/A,#N/A,TRUE,"WEST"}</definedName>
    <definedName name="test." localSheetId="9" hidden="1">{#N/A,#N/A,TRUE,"TOTAL DISTRIBUTION";#N/A,#N/A,TRUE,"SOUTH";#N/A,#N/A,TRUE,"NORTHEAST";#N/A,#N/A,TRUE,"WEST"}</definedName>
    <definedName name="test." hidden="1">{#N/A,#N/A,TRUE,"TOTAL DISTRIBUTION";#N/A,#N/A,TRUE,"SOUTH";#N/A,#N/A,TRUE,"NORTHEAST";#N/A,#N/A,TRUE,"WEST"}</definedName>
    <definedName name="TEST_YEAR_DATE">#REF!</definedName>
    <definedName name="TEST_YEAR_X">#REF!</definedName>
    <definedName name="testing" localSheetId="2" hidden="1">{"detail305",#N/A,FALSE,"BI-305"}</definedName>
    <definedName name="testing" localSheetId="8" hidden="1">{"detail305",#N/A,FALSE,"BI-305"}</definedName>
    <definedName name="testing" localSheetId="9" hidden="1">{"detail305",#N/A,FALSE,"BI-305"}</definedName>
    <definedName name="testing" hidden="1">{"detail305",#N/A,FALSE,"BI-305"}</definedName>
    <definedName name="testing2" localSheetId="2" hidden="1">{"detail305",#N/A,FALSE,"BI-305"}</definedName>
    <definedName name="testing2" localSheetId="8" hidden="1">{"detail305",#N/A,FALSE,"BI-305"}</definedName>
    <definedName name="testing2" localSheetId="9" hidden="1">{"detail305",#N/A,FALSE,"BI-305"}</definedName>
    <definedName name="testing2" hidden="1">{"detail305",#N/A,FALSE,"BI-305"}</definedName>
    <definedName name="testwe" localSheetId="2" hidden="1">{#N/A,#N/A,TRUE,"TOTAL DSBN";#N/A,#N/A,TRUE,"WEST";#N/A,#N/A,TRUE,"SOUTH";#N/A,#N/A,TRUE,"NORTHEAST"}</definedName>
    <definedName name="testwe" localSheetId="8" hidden="1">{#N/A,#N/A,TRUE,"TOTAL DSBN";#N/A,#N/A,TRUE,"WEST";#N/A,#N/A,TRUE,"SOUTH";#N/A,#N/A,TRUE,"NORTHEAST"}</definedName>
    <definedName name="testwe" localSheetId="9" hidden="1">{#N/A,#N/A,TRUE,"TOTAL DSBN";#N/A,#N/A,TRUE,"WEST";#N/A,#N/A,TRUE,"SOUTH";#N/A,#N/A,TRUE,"NORTHEAST"}</definedName>
    <definedName name="testwe" hidden="1">{#N/A,#N/A,TRUE,"TOTAL DSBN";#N/A,#N/A,TRUE,"WEST";#N/A,#N/A,TRUE,"SOUTH";#N/A,#N/A,TRUE,"NORTHEAST"}</definedName>
    <definedName name="thjty" localSheetId="2" hidden="1">{#N/A,#N/A,TRUE,"TOTAL DSBN";#N/A,#N/A,TRUE,"WEST";#N/A,#N/A,TRUE,"SOUTH";#N/A,#N/A,TRUE,"NORTHEAST"}</definedName>
    <definedName name="thjty" localSheetId="8" hidden="1">{#N/A,#N/A,TRUE,"TOTAL DSBN";#N/A,#N/A,TRUE,"WEST";#N/A,#N/A,TRUE,"SOUTH";#N/A,#N/A,TRUE,"NORTHEAST"}</definedName>
    <definedName name="thjty" localSheetId="9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HREE">#REF!</definedName>
    <definedName name="Total_Co">#REF!</definedName>
    <definedName name="TotalCap" localSheetId="2">#REF!</definedName>
    <definedName name="TotalCap" localSheetId="5">#REF!</definedName>
    <definedName name="TotalCap" localSheetId="8">#REF!</definedName>
    <definedName name="TotalCap" localSheetId="1">#REF!</definedName>
    <definedName name="TotalCap" localSheetId="4">#REF!</definedName>
    <definedName name="TotalCap">#REF!</definedName>
    <definedName name="trans_cost" localSheetId="2">#REF!</definedName>
    <definedName name="trans_cost" localSheetId="5">#REF!</definedName>
    <definedName name="trans_cost" localSheetId="8">#REF!</definedName>
    <definedName name="trans_cost" localSheetId="1">#REF!</definedName>
    <definedName name="trans_cost" localSheetId="4">#REF!</definedName>
    <definedName name="trans_cost" localSheetId="9">#REF!</definedName>
    <definedName name="trans_cost">#REF!</definedName>
    <definedName name="trans_cost_ci" localSheetId="5">#REF!</definedName>
    <definedName name="trans_cost_ci" localSheetId="4">#REF!</definedName>
    <definedName name="trans_cost_ci" localSheetId="9">#REF!</definedName>
    <definedName name="trans_cost_ci">#REF!</definedName>
    <definedName name="trans_cost_cs" localSheetId="5">#REF!</definedName>
    <definedName name="trans_cost_cs" localSheetId="4">#REF!</definedName>
    <definedName name="trans_cost_cs" localSheetId="9">#REF!</definedName>
    <definedName name="trans_cost_cs">#REF!</definedName>
    <definedName name="trans_cost_rlc" localSheetId="5">#REF!</definedName>
    <definedName name="trans_cost_rlc" localSheetId="4">#REF!</definedName>
    <definedName name="trans_cost_rlc" localSheetId="9">#REF!</definedName>
    <definedName name="trans_cost_rlc">#REF!</definedName>
    <definedName name="trans_fom" localSheetId="5">#REF!</definedName>
    <definedName name="trans_fom" localSheetId="4">#REF!</definedName>
    <definedName name="trans_fom" localSheetId="9">#REF!</definedName>
    <definedName name="trans_fom">#REF!</definedName>
    <definedName name="trans_fom_ci" localSheetId="5">#REF!</definedName>
    <definedName name="trans_fom_ci" localSheetId="4">#REF!</definedName>
    <definedName name="trans_fom_ci" localSheetId="9">#REF!</definedName>
    <definedName name="trans_fom_ci">#REF!</definedName>
    <definedName name="trans_fom_cs" localSheetId="5">#REF!</definedName>
    <definedName name="trans_fom_cs" localSheetId="4">#REF!</definedName>
    <definedName name="trans_fom_cs" localSheetId="9">#REF!</definedName>
    <definedName name="trans_fom_cs">#REF!</definedName>
    <definedName name="trans_fom_rlc" localSheetId="5">#REF!</definedName>
    <definedName name="trans_fom_rlc" localSheetId="4">#REF!</definedName>
    <definedName name="trans_fom_rlc" localSheetId="9">#REF!</definedName>
    <definedName name="trans_fom_rlc">#REF!</definedName>
    <definedName name="tt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urnover." localSheetId="2" hidden="1">{#N/A,#N/A,FALSE,"Cover";"NI_Mon.YTD",#N/A,FALSE,"Net Income";"Earnings_Month.YTD",#N/A,FALSE,"Earnings";#N/A,#N/A,FALSE,"Indicators"}</definedName>
    <definedName name="Turnover." localSheetId="5" hidden="1">{#N/A,#N/A,FALSE,"Cover";"NI_Mon.YTD",#N/A,FALSE,"Net Income";"Earnings_Month.YTD",#N/A,FALSE,"Earnings";#N/A,#N/A,FALSE,"Indicators"}</definedName>
    <definedName name="Turnover." localSheetId="7" hidden="1">{#N/A,#N/A,FALSE,"Cover";"NI_Mon.YTD",#N/A,FALSE,"Net Income";"Earnings_Month.YTD",#N/A,FALSE,"Earnings";#N/A,#N/A,FALSE,"Indicators"}</definedName>
    <definedName name="Turnover." localSheetId="8" hidden="1">{#N/A,#N/A,FALSE,"Cover";"NI_Mon.YTD",#N/A,FALSE,"Net Income";"Earnings_Month.YTD",#N/A,FALSE,"Earnings";#N/A,#N/A,FALSE,"Indicators"}</definedName>
    <definedName name="Turnover." localSheetId="1" hidden="1">{#N/A,#N/A,FALSE,"Cover";"NI_Mon.YTD",#N/A,FALSE,"Net Income";"Earnings_Month.YTD",#N/A,FALSE,"Earnings";#N/A,#N/A,FALSE,"Indicators"}</definedName>
    <definedName name="Turnover." localSheetId="6" hidden="1">{#N/A,#N/A,FALSE,"Cover";"NI_Mon.YTD",#N/A,FALSE,"Net Income";"Earnings_Month.YTD",#N/A,FALSE,"Earnings";#N/A,#N/A,FALSE,"Indicators"}</definedName>
    <definedName name="Turnover." localSheetId="9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TWO">#REF!</definedName>
    <definedName name="TypeofBusiness" localSheetId="9">#REF!</definedName>
    <definedName name="TypeofBusiness">#REF!</definedName>
    <definedName name="UI_Entity_Groups" localSheetId="9">#REF!</definedName>
    <definedName name="UI_Entity_Groups">#REF!</definedName>
    <definedName name="UI_Reports" localSheetId="9">#REF!</definedName>
    <definedName name="UI_Reports">#REF!</definedName>
    <definedName name="UI_Scenarios" localSheetId="9">#REF!</definedName>
    <definedName name="UI_Scenarios">#REF!</definedName>
    <definedName name="unit_fuel_price" localSheetId="2">#REF!</definedName>
    <definedName name="unit_fuel_price" localSheetId="5">#REF!</definedName>
    <definedName name="unit_fuel_price" localSheetId="8">#REF!</definedName>
    <definedName name="unit_fuel_price" localSheetId="1">#REF!</definedName>
    <definedName name="unit_fuel_price" localSheetId="4">#REF!</definedName>
    <definedName name="unit_fuel_price" localSheetId="9">#REF!</definedName>
    <definedName name="unit_fuel_price">#REF!</definedName>
    <definedName name="unitlist" localSheetId="2">#REF!</definedName>
    <definedName name="unitlist" localSheetId="5">#REF!</definedName>
    <definedName name="unitlist" localSheetId="8">#REF!</definedName>
    <definedName name="unitlist" localSheetId="1">#REF!</definedName>
    <definedName name="unitlist" localSheetId="4">#REF!</definedName>
    <definedName name="unitlist" localSheetId="9">#REF!</definedName>
    <definedName name="unitlist">#REF!</definedName>
    <definedName name="Untitled" localSheetId="9">#REF!</definedName>
    <definedName name="Untitled">#REF!</definedName>
    <definedName name="User" localSheetId="9">#REF!</definedName>
    <definedName name="User">#REF!</definedName>
    <definedName name="UserPageMember1" localSheetId="9">#REF!</definedName>
    <definedName name="UserPageMember1">#REF!</definedName>
    <definedName name="UserParameters">#REF!</definedName>
    <definedName name="W1X42">#REF!</definedName>
    <definedName name="wavy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8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8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EC_Gas">#REF!</definedName>
    <definedName name="Western" localSheetId="5">#REF!</definedName>
    <definedName name="Western" localSheetId="4">#REF!</definedName>
    <definedName name="Western">#REF!</definedName>
    <definedName name="what" localSheetId="2" hidden="1">{#N/A,#N/A,TRUE,"TOTAL DISTRIBUTION";#N/A,#N/A,TRUE,"SOUTH";#N/A,#N/A,TRUE,"NORTHEAST";#N/A,#N/A,TRUE,"WEST"}</definedName>
    <definedName name="what" localSheetId="8" hidden="1">{#N/A,#N/A,TRUE,"TOTAL DISTRIBUTION";#N/A,#N/A,TRUE,"SOUTH";#N/A,#N/A,TRUE,"NORTHEAST";#N/A,#N/A,TRUE,"WEST"}</definedName>
    <definedName name="what" localSheetId="9" hidden="1">{#N/A,#N/A,TRUE,"TOTAL DISTRIBUTION";#N/A,#N/A,TRUE,"SOUTH";#N/A,#N/A,TRUE,"NORTHEAST";#N/A,#N/A,TRUE,"WEST"}</definedName>
    <definedName name="what" hidden="1">{#N/A,#N/A,TRUE,"TOTAL DISTRIBUTION";#N/A,#N/A,TRUE,"SOUTH";#N/A,#N/A,TRUE,"NORTHEAST";#N/A,#N/A,TRUE,"WEST"}</definedName>
    <definedName name="whnos" localSheetId="2" hidden="1">{#N/A,#N/A,TRUE,"TOTAL DSBN";#N/A,#N/A,TRUE,"WEST";#N/A,#N/A,TRUE,"SOUTH";#N/A,#N/A,TRUE,"NORTHEAST"}</definedName>
    <definedName name="whnos" localSheetId="8" hidden="1">{#N/A,#N/A,TRUE,"TOTAL DSBN";#N/A,#N/A,TRUE,"WEST";#N/A,#N/A,TRUE,"SOUTH";#N/A,#N/A,TRUE,"NORTHEAST"}</definedName>
    <definedName name="whnos" localSheetId="9" hidden="1">{#N/A,#N/A,TRUE,"TOTAL DSBN";#N/A,#N/A,TRUE,"WEST";#N/A,#N/A,TRUE,"SOUTH";#N/A,#N/A,TRUE,"NORTHEAST"}</definedName>
    <definedName name="whnos" hidden="1">{#N/A,#N/A,TRUE,"TOTAL DSBN";#N/A,#N/A,TRUE,"WEST";#N/A,#N/A,TRUE,"SOUTH";#N/A,#N/A,TRUE,"NORTHEAST"}</definedName>
    <definedName name="why" localSheetId="2" hidden="1">{#N/A,#N/A,TRUE,"TOTAL DSBN";#N/A,#N/A,TRUE,"WEST";#N/A,#N/A,TRUE,"SOUTH";#N/A,#N/A,TRUE,"NORTHEAST"}</definedName>
    <definedName name="why" localSheetId="8" hidden="1">{#N/A,#N/A,TRUE,"TOTAL DSBN";#N/A,#N/A,TRUE,"WEST";#N/A,#N/A,TRUE,"SOUTH";#N/A,#N/A,TRUE,"NORTHEAST"}</definedName>
    <definedName name="why" localSheetId="9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localSheetId="2" hidden="1">{#N/A,#N/A,TRUE,"TOTAL DSBN";#N/A,#N/A,TRUE,"WEST";#N/A,#N/A,TRUE,"SOUTH";#N/A,#N/A,TRUE,"NORTHEAST"}</definedName>
    <definedName name="why?" localSheetId="8" hidden="1">{#N/A,#N/A,TRUE,"TOTAL DSBN";#N/A,#N/A,TRUE,"WEST";#N/A,#N/A,TRUE,"SOUTH";#N/A,#N/A,TRUE,"NORTHEAST"}</definedName>
    <definedName name="why?" localSheetId="9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sh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8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8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9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>#REF!</definedName>
    <definedName name="wrn.3cases." localSheetId="2" hidden="1">{#N/A,"Base",FALSE,"Dividend";#N/A,"Conservative",FALSE,"Dividend";#N/A,"Downside",FALSE,"Dividend"}</definedName>
    <definedName name="wrn.3cases." localSheetId="8" hidden="1">{#N/A,"Base",FALSE,"Dividend";#N/A,"Conservative",FALSE,"Dividend";#N/A,"Downside",FALSE,"Dividend"}</definedName>
    <definedName name="wrn.3cases." localSheetId="9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cases._1" localSheetId="2" hidden="1">{#N/A,"Base",FALSE,"Dividend";#N/A,"Conservative",FALSE,"Dividend";#N/A,"Downside",FALSE,"Dividend"}</definedName>
    <definedName name="wrn.3cases._1" localSheetId="8" hidden="1">{#N/A,"Base",FALSE,"Dividend";#N/A,"Conservative",FALSE,"Dividend";#N/A,"Downside",FALSE,"Dividend"}</definedName>
    <definedName name="wrn.3cases._1" localSheetId="9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localSheetId="2" hidden="1">{#N/A,#N/A,FALSE,"Expenses";#N/A,#N/A,FALSE,"Revenue"}</definedName>
    <definedName name="wrn.96._.ju._.forecat." localSheetId="8" hidden="1">{#N/A,#N/A,FALSE,"Expenses";#N/A,#N/A,FALSE,"Revenue"}</definedName>
    <definedName name="wrn.96._.ju._.forecat." localSheetId="9" hidden="1">{#N/A,#N/A,FALSE,"Expenses";#N/A,#N/A,FALSE,"Revenue"}</definedName>
    <definedName name="wrn.96._.ju._.forecat." hidden="1">{#N/A,#N/A,FALSE,"Expenses";#N/A,#N/A,FALSE,"Revenue"}</definedName>
    <definedName name="wrn.97maint.xls." localSheetId="2" hidden="1">{#N/A,#N/A,TRUE,"TOTAL DISTRIBUTION";#N/A,#N/A,TRUE,"SOUTH";#N/A,#N/A,TRUE,"NORTHEAST";#N/A,#N/A,TRUE,"WEST"}</definedName>
    <definedName name="wrn.97maint.xls." localSheetId="8" hidden="1">{#N/A,#N/A,TRUE,"TOTAL DISTRIBUTION";#N/A,#N/A,TRUE,"SOUTH";#N/A,#N/A,TRUE,"NORTHEAST";#N/A,#N/A,TRUE,"WEST"}</definedName>
    <definedName name="wrn.97maint.xls." localSheetId="9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2" hidden="1">{#N/A,#N/A,TRUE,"TOTAL DSBN";#N/A,#N/A,TRUE,"WEST";#N/A,#N/A,TRUE,"SOUTH";#N/A,#N/A,TRUE,"NORTHEAST"}</definedName>
    <definedName name="wrn.97OR.XLs." localSheetId="8" hidden="1">{#N/A,#N/A,TRUE,"TOTAL DSBN";#N/A,#N/A,TRUE,"WEST";#N/A,#N/A,TRUE,"SOUTH";#N/A,#N/A,TRUE,"NORTHEAST"}</definedName>
    <definedName name="wrn.97OR.XLs." localSheetId="9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ccretion." localSheetId="2" hidden="1">{"Accretion",#N/A,FALSE,"Assum"}</definedName>
    <definedName name="wrn.Accretion." localSheetId="8" hidden="1">{"Accretion",#N/A,FALSE,"Assum"}</definedName>
    <definedName name="wrn.Accretion." localSheetId="9" hidden="1">{"Accretion",#N/A,FALSE,"Assum"}</definedName>
    <definedName name="wrn.Accretion." hidden="1">{"Accretion",#N/A,FALSE,"Assum"}</definedName>
    <definedName name="wrn.Accretion._1" localSheetId="2" hidden="1">{"Accretion",#N/A,FALSE,"Assum"}</definedName>
    <definedName name="wrn.Accretion._1" localSheetId="8" hidden="1">{"Accretion",#N/A,FALSE,"Assum"}</definedName>
    <definedName name="wrn.Accretion._1" localSheetId="9" hidden="1">{"Accretion",#N/A,FALSE,"Assum"}</definedName>
    <definedName name="wrn.Accretion._1" hidden="1">{"Accretion",#N/A,FALSE,"Assum"}</definedName>
    <definedName name="wrn.ACTUAL._.ALL._.PAGES." localSheetId="2" hidden="1">{"ACTUAL",#N/A,FALSE,"OVER_UND"}</definedName>
    <definedName name="wrn.ACTUAL._.ALL._.PAGES." localSheetId="5" hidden="1">{"ACTUAL",#N/A,FALSE,"OVER_UND"}</definedName>
    <definedName name="wrn.ACTUAL._.ALL._.PAGES." localSheetId="7" hidden="1">{"ACTUAL",#N/A,FALSE,"OVER_UND"}</definedName>
    <definedName name="wrn.ACTUAL._.ALL._.PAGES." localSheetId="8" hidden="1">{"ACTUAL",#N/A,FALSE,"OVER_UND"}</definedName>
    <definedName name="wrn.ACTUAL._.ALL._.PAGES." localSheetId="1" hidden="1">{"ACTUAL",#N/A,FALSE,"OVER_UND"}</definedName>
    <definedName name="wrn.ACTUAL._.ALL._.PAGES." localSheetId="4" hidden="1">{"ACTUAL",#N/A,FALSE,"OVER_UND"}</definedName>
    <definedName name="wrn.ACTUAL._.ALL._.PAGES." localSheetId="6" hidden="1">{"ACTUAL",#N/A,FALSE,"OVER_UND"}</definedName>
    <definedName name="wrn.ACTUAL._.ALL._.PAGES." localSheetId="9" hidden="1">{"ACTUAL",#N/A,FALSE,"OVER_UND"}</definedName>
    <definedName name="wrn.ACTUAL._.ALL._.PAGES." hidden="1">{"ACTUAL",#N/A,FALSE,"OVER_UND"}</definedName>
    <definedName name="wrn.Ad._.Sales._.Op._.Exp." localSheetId="2" hidden="1">{#N/A,#N/A,FALSE,"ADSALES"}</definedName>
    <definedName name="wrn.Ad._.Sales._.Op._.Exp." localSheetId="8" hidden="1">{#N/A,#N/A,FALSE,"ADSALES"}</definedName>
    <definedName name="wrn.Ad._.Sales._.Op._.Exp." localSheetId="9" hidden="1">{#N/A,#N/A,FALSE,"ADSALES"}</definedName>
    <definedName name="wrn.Ad._.Sales._.Op._.Exp." hidden="1">{#N/A,#N/A,FALSE,"ADSALES"}</definedName>
    <definedName name="wrn.Ad._.Sales._.Op._.Exp._1" localSheetId="2" hidden="1">{#N/A,#N/A,FALSE,"ADSALES"}</definedName>
    <definedName name="wrn.Ad._.Sales._.Op._.Exp._1" localSheetId="8" hidden="1">{#N/A,#N/A,FALSE,"ADSALES"}</definedName>
    <definedName name="wrn.Ad._.Sales._.Op._.Exp._1" localSheetId="9" hidden="1">{#N/A,#N/A,FALSE,"ADSALES"}</definedName>
    <definedName name="wrn.Ad._.Sales._.Op._.Exp._1" hidden="1">{#N/A,#N/A,FALSE,"ADSALES"}</definedName>
    <definedName name="wrn.Aff._.Sales._.Oper._.Exp." localSheetId="2" hidden="1">{#N/A,#N/A,FALSE,"AFFSALES"}</definedName>
    <definedName name="wrn.Aff._.Sales._.Oper._.Exp." localSheetId="8" hidden="1">{#N/A,#N/A,FALSE,"AFFSALES"}</definedName>
    <definedName name="wrn.Aff._.Sales._.Oper._.Exp." localSheetId="9" hidden="1">{#N/A,#N/A,FALSE,"AFFSALES"}</definedName>
    <definedName name="wrn.Aff._.Sales._.Oper._.Exp." hidden="1">{#N/A,#N/A,FALSE,"AFFSALES"}</definedName>
    <definedName name="wrn.Aff._.Sales._.Oper._.Exp._1" localSheetId="2" hidden="1">{#N/A,#N/A,FALSE,"AFFSALES"}</definedName>
    <definedName name="wrn.Aff._.Sales._.Oper._.Exp._1" localSheetId="8" hidden="1">{#N/A,#N/A,FALSE,"AFFSALES"}</definedName>
    <definedName name="wrn.Aff._.Sales._.Oper._.Exp._1" localSheetId="9" hidden="1">{#N/A,#N/A,FALSE,"AFFSALES"}</definedName>
    <definedName name="wrn.Aff._.Sales._.Oper._.Exp._1" hidden="1">{#N/A,#N/A,FALSE,"AFFSALES"}</definedName>
    <definedName name="wrn.AFUDC." localSheetId="2" hidden="1">{#N/A,#N/A,FALSE,"AFDC"}</definedName>
    <definedName name="wrn.AFUDC." localSheetId="5" hidden="1">{#N/A,#N/A,FALSE,"AFDC"}</definedName>
    <definedName name="wrn.AFUDC." localSheetId="7" hidden="1">{#N/A,#N/A,FALSE,"AFDC"}</definedName>
    <definedName name="wrn.AFUDC." localSheetId="8" hidden="1">{#N/A,#N/A,FALSE,"AFDC"}</definedName>
    <definedName name="wrn.AFUDC." localSheetId="1" hidden="1">{#N/A,#N/A,FALSE,"AFDC"}</definedName>
    <definedName name="wrn.AFUDC." localSheetId="4" hidden="1">{#N/A,#N/A,FALSE,"AFDC"}</definedName>
    <definedName name="wrn.AFUDC." localSheetId="6" hidden="1">{#N/A,#N/A,FALSE,"AFDC"}</definedName>
    <definedName name="wrn.AFUDC." localSheetId="9" hidden="1">{#N/A,#N/A,FALSE,"AFDC"}</definedName>
    <definedName name="wrn.AFUDC." hidden="1">{#N/A,#N/A,FALSE,"AFDC"}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5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7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6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5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7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6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9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localSheetId="8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localSheetId="9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5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7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6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9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2" hidden="1">{"APAGE1",#N/A,FALSE,"JAN95_OU"}</definedName>
    <definedName name="wrn.APAGE1." localSheetId="5" hidden="1">{"APAGE1",#N/A,FALSE,"JAN95_OU"}</definedName>
    <definedName name="wrn.APAGE1." localSheetId="7" hidden="1">{"APAGE1",#N/A,FALSE,"JAN95_OU"}</definedName>
    <definedName name="wrn.APAGE1." localSheetId="8" hidden="1">{"APAGE1",#N/A,FALSE,"JAN95_OU"}</definedName>
    <definedName name="wrn.APAGE1." localSheetId="1" hidden="1">{"APAGE1",#N/A,FALSE,"JAN95_OU"}</definedName>
    <definedName name="wrn.APAGE1." localSheetId="4" hidden="1">{"APAGE1",#N/A,FALSE,"JAN95_OU"}</definedName>
    <definedName name="wrn.APAGE1." localSheetId="6" hidden="1">{"APAGE1",#N/A,FALSE,"JAN95_OU"}</definedName>
    <definedName name="wrn.APAGE1." localSheetId="9" hidden="1">{"APAGE1",#N/A,FALSE,"JAN95_OU"}</definedName>
    <definedName name="wrn.APAGE1." hidden="1">{"APAGE1",#N/A,FALSE,"JAN95_OU"}</definedName>
    <definedName name="wrn.APAGE2." localSheetId="2" hidden="1">{"APAGE2",#N/A,FALSE,"JAN95_OU"}</definedName>
    <definedName name="wrn.APAGE2." localSheetId="5" hidden="1">{"APAGE2",#N/A,FALSE,"JAN95_OU"}</definedName>
    <definedName name="wrn.APAGE2." localSheetId="7" hidden="1">{"APAGE2",#N/A,FALSE,"JAN95_OU"}</definedName>
    <definedName name="wrn.APAGE2." localSheetId="8" hidden="1">{"APAGE2",#N/A,FALSE,"JAN95_OU"}</definedName>
    <definedName name="wrn.APAGE2." localSheetId="1" hidden="1">{"APAGE2",#N/A,FALSE,"JAN95_OU"}</definedName>
    <definedName name="wrn.APAGE2." localSheetId="4" hidden="1">{"APAGE2",#N/A,FALSE,"JAN95_OU"}</definedName>
    <definedName name="wrn.APAGE2." localSheetId="6" hidden="1">{"APAGE2",#N/A,FALSE,"JAN95_OU"}</definedName>
    <definedName name="wrn.APAGE2." localSheetId="9" hidden="1">{"APAGE2",#N/A,FALSE,"JAN95_OU"}</definedName>
    <definedName name="wrn.APAGE2." hidden="1">{"APAGE2",#N/A,FALSE,"JAN95_OU"}</definedName>
    <definedName name="wrn.APAGE3." localSheetId="2" hidden="1">{"APAGE3",#N/A,FALSE,"JAN95_OU"}</definedName>
    <definedName name="wrn.APAGE3." localSheetId="5" hidden="1">{"APAGE3",#N/A,FALSE,"JAN95_OU"}</definedName>
    <definedName name="wrn.APAGE3." localSheetId="7" hidden="1">{"APAGE3",#N/A,FALSE,"JAN95_OU"}</definedName>
    <definedName name="wrn.APAGE3." localSheetId="8" hidden="1">{"APAGE3",#N/A,FALSE,"JAN95_OU"}</definedName>
    <definedName name="wrn.APAGE3." localSheetId="1" hidden="1">{"APAGE3",#N/A,FALSE,"JAN95_OU"}</definedName>
    <definedName name="wrn.APAGE3." localSheetId="4" hidden="1">{"APAGE3",#N/A,FALSE,"JAN95_OU"}</definedName>
    <definedName name="wrn.APAGE3." localSheetId="6" hidden="1">{"APAGE3",#N/A,FALSE,"JAN95_OU"}</definedName>
    <definedName name="wrn.APAGE3." localSheetId="9" hidden="1">{"APAGE3",#N/A,FALSE,"JAN95_OU"}</definedName>
    <definedName name="wrn.APAGE3." hidden="1">{"APAGE3",#N/A,FALSE,"JAN95_OU"}</definedName>
    <definedName name="wrn.Apr94_Sep95." localSheetId="2" hidden="1">{"Apr95_Sep95",#N/A,FALSE,"Actual Estimt (Apr 95 - Sep 95)"}</definedName>
    <definedName name="wrn.Apr94_Sep95." localSheetId="5" hidden="1">{"Apr95_Sep95",#N/A,FALSE,"Actual Estimt (Apr 95 - Sep 95)"}</definedName>
    <definedName name="wrn.Apr94_Sep95." localSheetId="7" hidden="1">{"Apr95_Sep95",#N/A,FALSE,"Actual Estimt (Apr 95 - Sep 95)"}</definedName>
    <definedName name="wrn.Apr94_Sep95." localSheetId="8" hidden="1">{"Apr95_Sep95",#N/A,FALSE,"Actual Estimt (Apr 95 - Sep 95)"}</definedName>
    <definedName name="wrn.Apr94_Sep95." localSheetId="1" hidden="1">{"Apr95_Sep95",#N/A,FALSE,"Actual Estimt (Apr 95 - Sep 95)"}</definedName>
    <definedName name="wrn.Apr94_Sep95." localSheetId="4" hidden="1">{"Apr95_Sep95",#N/A,FALSE,"Actual Estimt (Apr 95 - Sep 95)"}</definedName>
    <definedName name="wrn.Apr94_Sep95." localSheetId="6" hidden="1">{"Apr95_Sep95",#N/A,FALSE,"Actual Estimt (Apr 95 - Sep 95)"}</definedName>
    <definedName name="wrn.Apr94_Sep95." localSheetId="9" hidden="1">{"Apr95_Sep95",#N/A,FALSE,"Actual Estimt (Apr 95 - Sep 95)"}</definedName>
    <definedName name="wrn.Apr94_Sep95." hidden="1">{"Apr95_Sep95",#N/A,FALSE,"Actual Estimt (Apr 95 - Sep 95)"}</definedName>
    <definedName name="wrn.Apr95_Sep95." localSheetId="2" hidden="1">{"Apr95_Sep95",#N/A,FALSE,"Actual~Estimt (Apr 95 - Sep 95)";"Apr95_Sep95",#N/A,FALSE,#N/A;"Apr95_Sep95",#N/A,FALSE,#N/A;"Apr95_Sep95",#N/A,FALSE,#N/A;"Apr95_Sep95",#N/A,FALSE,#N/A}</definedName>
    <definedName name="wrn.Apr95_Sep95." localSheetId="5" hidden="1">{"Apr95_Sep95",#N/A,FALSE,"Actual~Estimt (Apr 95 - Sep 95)";"Apr95_Sep95",#N/A,FALSE,#N/A;"Apr95_Sep95",#N/A,FALSE,#N/A;"Apr95_Sep95",#N/A,FALSE,#N/A;"Apr95_Sep95",#N/A,FALSE,#N/A}</definedName>
    <definedName name="wrn.Apr95_Sep95." localSheetId="7" hidden="1">{"Apr95_Sep95",#N/A,FALSE,"Actual~Estimt (Apr 95 - Sep 95)";"Apr95_Sep95",#N/A,FALSE,#N/A;"Apr95_Sep95",#N/A,FALSE,#N/A;"Apr95_Sep95",#N/A,FALSE,#N/A;"Apr95_Sep95",#N/A,FALSE,#N/A}</definedName>
    <definedName name="wrn.Apr95_Sep95." localSheetId="8" hidden="1">{"Apr95_Sep95",#N/A,FALSE,"Actual~Estimt (Apr 95 - Sep 95)";"Apr95_Sep95",#N/A,FALSE,#N/A;"Apr95_Sep95",#N/A,FALSE,#N/A;"Apr95_Sep95",#N/A,FALSE,#N/A;"Apr95_Sep95",#N/A,FALSE,#N/A}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Apr95_Sep95." localSheetId="6" hidden="1">{"Apr95_Sep95",#N/A,FALSE,"Actual~Estimt (Apr 95 - Sep 95)";"Apr95_Sep95",#N/A,FALSE,#N/A;"Apr95_Sep95",#N/A,FALSE,#N/A;"Apr95_Sep95",#N/A,FALSE,#N/A;"Apr95_Sep95",#N/A,FALSE,#N/A}</definedName>
    <definedName name="wrn.Apr95_Sep95." localSheetId="9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localSheetId="2" hidden="1">{"Assumptions",#N/A,FALSE,"Assum"}</definedName>
    <definedName name="wrn.Assumptions." localSheetId="8" hidden="1">{"Assumptions",#N/A,FALSE,"Assum"}</definedName>
    <definedName name="wrn.Assumptions." localSheetId="9" hidden="1">{"Assumptions",#N/A,FALSE,"Assum"}</definedName>
    <definedName name="wrn.Assumptions." hidden="1">{"Assumptions",#N/A,FALSE,"Assum"}</definedName>
    <definedName name="wrn.Assumptions._1" localSheetId="2" hidden="1">{"Assumptions",#N/A,FALSE,"Assum"}</definedName>
    <definedName name="wrn.Assumptions._1" localSheetId="8" hidden="1">{"Assumptions",#N/A,FALSE,"Assum"}</definedName>
    <definedName name="wrn.Assumptions._1" localSheetId="9" hidden="1">{"Assumptions",#N/A,FALSE,"Assum"}</definedName>
    <definedName name="wrn.Assumptions._1" hidden="1">{"Assumptions",#N/A,FALSE,"Assum"}</definedName>
    <definedName name="wrn.Board._.Forecast.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8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9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8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9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localSheetId="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8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9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7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6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8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9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2" hidden="1">{#N/A,#N/A,FALSE,"SUMMARY";#N/A,#N/A,FALSE,"INPUTDATA";#N/A,#N/A,FALSE,"Condenser Performance"}</definedName>
    <definedName name="wrn.Condenser._.Summary." localSheetId="5" hidden="1">{#N/A,#N/A,FALSE,"SUMMARY";#N/A,#N/A,FALSE,"INPUTDATA";#N/A,#N/A,FALSE,"Condenser Performance"}</definedName>
    <definedName name="wrn.Condenser._.Summary." localSheetId="7" hidden="1">{#N/A,#N/A,FALSE,"SUMMARY";#N/A,#N/A,FALSE,"INPUTDATA";#N/A,#N/A,FALSE,"Condenser Performance"}</definedName>
    <definedName name="wrn.Condenser._.Summary." localSheetId="8" hidden="1">{#N/A,#N/A,FALSE,"SUMMARY";#N/A,#N/A,FALSE,"INPUTDATA";#N/A,#N/A,FALSE,"Condenser Performance"}</definedName>
    <definedName name="wrn.Condenser._.Summary." localSheetId="1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localSheetId="6" hidden="1">{#N/A,#N/A,FALSE,"SUMMARY";#N/A,#N/A,FALSE,"INPUTDATA";#N/A,#N/A,FALSE,"Condenser Performance"}</definedName>
    <definedName name="wrn.Condenser._.Summary." localSheetId="9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denser._.Summary._1" localSheetId="2" hidden="1">{#N/A,#N/A,FALSE,"SUMMARY";#N/A,#N/A,FALSE,"INPUTDATA";#N/A,#N/A,FALSE,"Condenser Performance"}</definedName>
    <definedName name="wrn.Condenser._.Summary._1" localSheetId="8" hidden="1">{#N/A,#N/A,FALSE,"SUMMARY";#N/A,#N/A,FALSE,"INPUTDATA";#N/A,#N/A,FALSE,"Condenser Performance"}</definedName>
    <definedName name="wrn.Condenser._.Summary._1" localSheetId="9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localSheetId="2" hidden="1">{#N/A,#N/A,FALSE,"T COST";#N/A,#N/A,FALSE,"COST_FH"}</definedName>
    <definedName name="wrn.COST." localSheetId="5" hidden="1">{#N/A,#N/A,FALSE,"T COST";#N/A,#N/A,FALSE,"COST_FH"}</definedName>
    <definedName name="wrn.COST." localSheetId="7" hidden="1">{#N/A,#N/A,FALSE,"T COST";#N/A,#N/A,FALSE,"COST_FH"}</definedName>
    <definedName name="wrn.COST." localSheetId="8" hidden="1">{#N/A,#N/A,FALSE,"T COST";#N/A,#N/A,FALSE,"COST_FH"}</definedName>
    <definedName name="wrn.COST." localSheetId="1" hidden="1">{#N/A,#N/A,FALSE,"T COST";#N/A,#N/A,FALSE,"COST_FH"}</definedName>
    <definedName name="wrn.COST." localSheetId="4" hidden="1">{#N/A,#N/A,FALSE,"T COST";#N/A,#N/A,FALSE,"COST_FH"}</definedName>
    <definedName name="wrn.COST." localSheetId="6" hidden="1">{#N/A,#N/A,FALSE,"T COST";#N/A,#N/A,FALSE,"COST_FH"}</definedName>
    <definedName name="wrn.COST." localSheetId="9" hidden="1">{#N/A,#N/A,FALSE,"T COST";#N/A,#N/A,FALSE,"COST_FH"}</definedName>
    <definedName name="wrn.COST." hidden="1">{#N/A,#N/A,FALSE,"T COST";#N/A,#N/A,FALSE,"COST_FH"}</definedName>
    <definedName name="wrn.COST._1" localSheetId="2" hidden="1">{#N/A,#N/A,FALSE,"T COST";#N/A,#N/A,FALSE,"COST_FH"}</definedName>
    <definedName name="wrn.COST._1" localSheetId="8" hidden="1">{#N/A,#N/A,FALSE,"T COST";#N/A,#N/A,FALSE,"COST_FH"}</definedName>
    <definedName name="wrn.COST._1" localSheetId="9" hidden="1">{#N/A,#N/A,FALSE,"T COST";#N/A,#N/A,FALSE,"COST_FH"}</definedName>
    <definedName name="wrn.COST._1" hidden="1">{#N/A,#N/A,FALSE,"T COST";#N/A,#N/A,FALSE,"COST_FH"}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5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7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8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1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4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6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9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2" hidden="1">{"EFRT Pg 1",#N/A,FALSE,"EFRT (2)";"EFRT Pg 2",#N/A,FALSE,"EFRT (2)"}</definedName>
    <definedName name="wrn.EFRT." localSheetId="5" hidden="1">{"EFRT Pg 1",#N/A,FALSE,"EFRT (2)";"EFRT Pg 2",#N/A,FALSE,"EFRT (2)"}</definedName>
    <definedName name="wrn.EFRT." localSheetId="7" hidden="1">{"EFRT Pg 1",#N/A,FALSE,"EFRT (2)";"EFRT Pg 2",#N/A,FALSE,"EFRT (2)"}</definedName>
    <definedName name="wrn.EFRT." localSheetId="8" hidden="1">{"EFRT Pg 1",#N/A,FALSE,"EFRT (2)";"EFRT Pg 2",#N/A,FALSE,"EFRT (2)"}</definedName>
    <definedName name="wrn.EFRT." localSheetId="1" hidden="1">{"EFRT Pg 1",#N/A,FALSE,"EFRT (2)";"EFRT Pg 2",#N/A,FALSE,"EFRT (2)"}</definedName>
    <definedName name="wrn.EFRT." localSheetId="4" hidden="1">{"EFRT Pg 1",#N/A,FALSE,"EFRT (2)";"EFRT Pg 2",#N/A,FALSE,"EFRT (2)"}</definedName>
    <definedName name="wrn.EFRT." localSheetId="6" hidden="1">{"EFRT Pg 1",#N/A,FALSE,"EFRT (2)";"EFRT Pg 2",#N/A,FALSE,"EFRT (2)"}</definedName>
    <definedName name="wrn.EFRT." localSheetId="9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localSheetId="5" hidden="1">{#N/A,#N/A,FALSE,"INPUTDATA";#N/A,#N/A,FALSE,"SUMMARY";#N/A,#N/A,FALSE,"CTAREP";#N/A,#N/A,FALSE,"CTBREP";#N/A,#N/A,FALSE,"TURBEFF";#N/A,#N/A,FALSE,"Condenser Performance"}</definedName>
    <definedName name="wrn.Engr._.Summary." localSheetId="7" hidden="1">{#N/A,#N/A,FALSE,"INPUTDATA";#N/A,#N/A,FALSE,"SUMMARY";#N/A,#N/A,FALSE,"CTAREP";#N/A,#N/A,FALSE,"CTBREP";#N/A,#N/A,FALSE,"TURBEFF";#N/A,#N/A,FALSE,"Condenser Performance"}</definedName>
    <definedName name="wrn.Engr._.Summary." localSheetId="8" hidden="1">{#N/A,#N/A,FALSE,"INPUTDATA";#N/A,#N/A,FALSE,"SUMMARY";#N/A,#N/A,FALSE,"CTAREP";#N/A,#N/A,FALSE,"CTBREP";#N/A,#N/A,FALSE,"TURBEFF";#N/A,#N/A,FALSE,"Condenser Performance"}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localSheetId="6" hidden="1">{#N/A,#N/A,FALSE,"INPUTDATA";#N/A,#N/A,FALSE,"SUMMARY";#N/A,#N/A,FALSE,"CTAREP";#N/A,#N/A,FALSE,"CTBREP";#N/A,#N/A,FALSE,"TURBEFF";#N/A,#N/A,FALSE,"Condenser Performance"}</definedName>
    <definedName name="wrn.Engr._.Summary." localSheetId="9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localSheetId="2" hidden="1">{#N/A,#N/A,FALSE,"INPUTDATA";#N/A,#N/A,FALSE,"SUMMARY";#N/A,#N/A,FALSE,"CTAREP";#N/A,#N/A,FALSE,"CTBREP";#N/A,#N/A,FALSE,"TURBEFF";#N/A,#N/A,FALSE,"Condenser Performance"}</definedName>
    <definedName name="wrn.Engr._.Summary._1" localSheetId="8" hidden="1">{#N/A,#N/A,FALSE,"INPUTDATA";#N/A,#N/A,FALSE,"SUMMARY";#N/A,#N/A,FALSE,"CTAREP";#N/A,#N/A,FALSE,"CTBREP";#N/A,#N/A,FALSE,"TURBEFF";#N/A,#N/A,FALSE,"Condenser Performance"}</definedName>
    <definedName name="wrn.Engr._.Summary._1" localSheetId="9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localSheetId="2" hidden="1">{#N/A,#N/A,FALSE,"INPUTDATA";#N/A,#N/A,FALSE,"SUMMARY"}</definedName>
    <definedName name="wrn.Exec._.Summary." localSheetId="5" hidden="1">{#N/A,#N/A,FALSE,"INPUTDATA";#N/A,#N/A,FALSE,"SUMMARY"}</definedName>
    <definedName name="wrn.Exec._.Summary." localSheetId="7" hidden="1">{#N/A,#N/A,FALSE,"INPUTDATA";#N/A,#N/A,FALSE,"SUMMARY"}</definedName>
    <definedName name="wrn.Exec._.Summary." localSheetId="8" hidden="1">{#N/A,#N/A,FALSE,"INPUTDATA";#N/A,#N/A,FALSE,"SUMMARY"}</definedName>
    <definedName name="wrn.Exec._.Summary." localSheetId="1" hidden="1">{#N/A,#N/A,FALSE,"INPUTDATA";#N/A,#N/A,FALSE,"SUMMARY"}</definedName>
    <definedName name="wrn.Exec._.Summary." localSheetId="4" hidden="1">{#N/A,#N/A,FALSE,"INPUTDATA";#N/A,#N/A,FALSE,"SUMMARY"}</definedName>
    <definedName name="wrn.Exec._.Summary." localSheetId="6" hidden="1">{#N/A,#N/A,FALSE,"INPUTDATA";#N/A,#N/A,FALSE,"SUMMARY"}</definedName>
    <definedName name="wrn.Exec._.Summary." localSheetId="9" hidden="1">{#N/A,#N/A,FALSE,"INPUTDATA";#N/A,#N/A,FALSE,"SUMMARY"}</definedName>
    <definedName name="wrn.Exec._.Summary." hidden="1">{#N/A,#N/A,FALSE,"INPUTDATA";#N/A,#N/A,FALSE,"SUMMARY"}</definedName>
    <definedName name="wrn.Exec._.Summary._1" localSheetId="2" hidden="1">{#N/A,#N/A,FALSE,"INPUTDATA";#N/A,#N/A,FALSE,"SUMMARY"}</definedName>
    <definedName name="wrn.Exec._.Summary._1" localSheetId="8" hidden="1">{#N/A,#N/A,FALSE,"INPUTDATA";#N/A,#N/A,FALSE,"SUMMARY"}</definedName>
    <definedName name="wrn.Exec._.Summary._1" localSheetId="9" hidden="1">{#N/A,#N/A,FALSE,"INPUTDATA";#N/A,#N/A,FALSE,"SUMMARY"}</definedName>
    <definedName name="wrn.Exec._.Summary._1" hidden="1">{#N/A,#N/A,FALSE,"INPUTDATA";#N/A,#N/A,FALSE,"SUMMARY"}</definedName>
    <definedName name="wrn.Exec1._.Summary" localSheetId="2" hidden="1">{#N/A,#N/A,FALSE,"INPUTDATA";#N/A,#N/A,FALSE,"SUMMARY"}</definedName>
    <definedName name="wrn.Exec1._.Summary" localSheetId="8" hidden="1">{#N/A,#N/A,FALSE,"INPUTDATA";#N/A,#N/A,FALSE,"SUMMARY"}</definedName>
    <definedName name="wrn.Exec1._.Summary" localSheetId="9" hidden="1">{#N/A,#N/A,FALSE,"INPUTDATA";#N/A,#N/A,FALSE,"SUMMARY"}</definedName>
    <definedName name="wrn.Exec1._.Summary" hidden="1">{#N/A,#N/A,FALSE,"INPUTDATA";#N/A,#N/A,FALSE,"SUMMARY"}</definedName>
    <definedName name="wrn.FCB." localSheetId="2" hidden="1">{"FCB_ALL",#N/A,FALSE,"FCB"}</definedName>
    <definedName name="wrn.FCB." localSheetId="8" hidden="1">{"FCB_ALL",#N/A,FALSE,"FCB"}</definedName>
    <definedName name="wrn.FCB." localSheetId="9" hidden="1">{"FCB_ALL",#N/A,FALSE,"FCB"}</definedName>
    <definedName name="wrn.FCB." hidden="1">{"FCB_ALL",#N/A,FALSE,"FCB"}</definedName>
    <definedName name="wrn.FCB._1" localSheetId="2" hidden="1">{"FCB_ALL",#N/A,FALSE,"FCB"}</definedName>
    <definedName name="wrn.FCB._1" localSheetId="8" hidden="1">{"FCB_ALL",#N/A,FALSE,"FCB"}</definedName>
    <definedName name="wrn.FCB._1" localSheetId="9" hidden="1">{"FCB_ALL",#N/A,FALSE,"FCB"}</definedName>
    <definedName name="wrn.FCB._1" hidden="1">{"FCB_ALL",#N/A,FALSE,"FCB"}</definedName>
    <definedName name="wrn.fcb2" localSheetId="2" hidden="1">{"FCB_ALL",#N/A,FALSE,"FCB"}</definedName>
    <definedName name="wrn.fcb2" localSheetId="8" hidden="1">{"FCB_ALL",#N/A,FALSE,"FCB"}</definedName>
    <definedName name="wrn.fcb2" localSheetId="9" hidden="1">{"FCB_ALL",#N/A,FALSE,"FCB"}</definedName>
    <definedName name="wrn.fcb2" hidden="1">{"FCB_ALL",#N/A,FALSE,"FCB"}</definedName>
    <definedName name="wrn.fcb2_1" localSheetId="2" hidden="1">{"FCB_ALL",#N/A,FALSE,"FCB"}</definedName>
    <definedName name="wrn.fcb2_1" localSheetId="8" hidden="1">{"FCB_ALL",#N/A,FALSE,"FCB"}</definedName>
    <definedName name="wrn.fcb2_1" localSheetId="9" hidden="1">{"FCB_ALL",#N/A,FALSE,"FCB"}</definedName>
    <definedName name="wrn.fcb2_1" hidden="1">{"FCB_ALL",#N/A,FALSE,"FCB"}</definedName>
    <definedName name="wrn.FILING." localSheetId="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8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9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localSheetId="2" hidden="1">{"FPL Consol Inc State Pg 3A",#N/A,FALSE,"ISFPLSUB"}</definedName>
    <definedName name="wrn.FPL._.Cnsl._.Inc._.State._.Pg._.3A." localSheetId="5" hidden="1">{"FPL Consol Inc State Pg 3A",#N/A,FALSE,"ISFPLSUB"}</definedName>
    <definedName name="wrn.FPL._.Cnsl._.Inc._.State._.Pg._.3A." localSheetId="7" hidden="1">{"FPL Consol Inc State Pg 3A",#N/A,FALSE,"ISFPLSUB"}</definedName>
    <definedName name="wrn.FPL._.Cnsl._.Inc._.State._.Pg._.3A." localSheetId="8" hidden="1">{"FPL Consol Inc State Pg 3A",#N/A,FALSE,"ISFPLSUB"}</definedName>
    <definedName name="wrn.FPL._.Cnsl._.Inc._.State._.Pg._.3A." localSheetId="1" hidden="1">{"FPL Consol Inc State Pg 3A",#N/A,FALSE,"ISFPLSUB"}</definedName>
    <definedName name="wrn.FPL._.Cnsl._.Inc._.State._.Pg._.3A." localSheetId="4" hidden="1">{"FPL Consol Inc State Pg 3A",#N/A,FALSE,"ISFPLSUB"}</definedName>
    <definedName name="wrn.FPL._.Cnsl._.Inc._.State._.Pg._.3A." localSheetId="6" hidden="1">{"FPL Consol Inc State Pg 3A",#N/A,FALSE,"ISFPLSUB"}</definedName>
    <definedName name="wrn.FPL._.Cnsl._.Inc._.State._.Pg._.3A." localSheetId="9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2" hidden="1">{"FPL Consol Inc State Pg 3M",#N/A,FALSE,"ISFPLSUB"}</definedName>
    <definedName name="wrn.FPL._.Cnsl._.Inc._.State._.Pg._.3M." localSheetId="5" hidden="1">{"FPL Consol Inc State Pg 3M",#N/A,FALSE,"ISFPLSUB"}</definedName>
    <definedName name="wrn.FPL._.Cnsl._.Inc._.State._.Pg._.3M." localSheetId="7" hidden="1">{"FPL Consol Inc State Pg 3M",#N/A,FALSE,"ISFPLSUB"}</definedName>
    <definedName name="wrn.FPL._.Cnsl._.Inc._.State._.Pg._.3M." localSheetId="8" hidden="1">{"FPL Consol Inc State Pg 3M",#N/A,FALSE,"ISFPLSUB"}</definedName>
    <definedName name="wrn.FPL._.Cnsl._.Inc._.State._.Pg._.3M." localSheetId="1" hidden="1">{"FPL Consol Inc State Pg 3M",#N/A,FALSE,"ISFPLSUB"}</definedName>
    <definedName name="wrn.FPL._.Cnsl._.Inc._.State._.Pg._.3M." localSheetId="4" hidden="1">{"FPL Consol Inc State Pg 3M",#N/A,FALSE,"ISFPLSUB"}</definedName>
    <definedName name="wrn.FPL._.Cnsl._.Inc._.State._.Pg._.3M." localSheetId="6" hidden="1">{"FPL Consol Inc State Pg 3M",#N/A,FALSE,"ISFPLSUB"}</definedName>
    <definedName name="wrn.FPL._.Cnsl._.Inc._.State._.Pg._.3M." localSheetId="9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2" hidden="1">{"FPL Consol Inc State Pg 3Y",#N/A,FALSE,"ISFPLSUB"}</definedName>
    <definedName name="wrn.FPL._.Cnsl._.Inc._.State._.Pg._.3Y." localSheetId="5" hidden="1">{"FPL Consol Inc State Pg 3Y",#N/A,FALSE,"ISFPLSUB"}</definedName>
    <definedName name="wrn.FPL._.Cnsl._.Inc._.State._.Pg._.3Y." localSheetId="7" hidden="1">{"FPL Consol Inc State Pg 3Y",#N/A,FALSE,"ISFPLSUB"}</definedName>
    <definedName name="wrn.FPL._.Cnsl._.Inc._.State._.Pg._.3Y." localSheetId="8" hidden="1">{"FPL Consol Inc State Pg 3Y",#N/A,FALSE,"ISFPLSUB"}</definedName>
    <definedName name="wrn.FPL._.Cnsl._.Inc._.State._.Pg._.3Y." localSheetId="1" hidden="1">{"FPL Consol Inc State Pg 3Y",#N/A,FALSE,"ISFPLSUB"}</definedName>
    <definedName name="wrn.FPL._.Cnsl._.Inc._.State._.Pg._.3Y." localSheetId="4" hidden="1">{"FPL Consol Inc State Pg 3Y",#N/A,FALSE,"ISFPLSUB"}</definedName>
    <definedName name="wrn.FPL._.Cnsl._.Inc._.State._.Pg._.3Y." localSheetId="6" hidden="1">{"FPL Consol Inc State Pg 3Y",#N/A,FALSE,"ISFPLSUB"}</definedName>
    <definedName name="wrn.FPL._.Cnsl._.Inc._.State._.Pg._.3Y." localSheetId="9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2" hidden="1">{"Fpl Consol Pg 1",#N/A,FALSE,"FPL Consolidated";"FPL Consol Pg 2",#N/A,FALSE,"FPL Consolidated"}</definedName>
    <definedName name="wrn.FPL._.Consolidated." localSheetId="5" hidden="1">{"Fpl Consol Pg 1",#N/A,FALSE,"FPL Consolidated";"FPL Consol Pg 2",#N/A,FALSE,"FPL Consolidated"}</definedName>
    <definedName name="wrn.FPL._.Consolidated." localSheetId="7" hidden="1">{"Fpl Consol Pg 1",#N/A,FALSE,"FPL Consolidated";"FPL Consol Pg 2",#N/A,FALSE,"FPL Consolidated"}</definedName>
    <definedName name="wrn.FPL._.Consolidated." localSheetId="8" hidden="1">{"Fpl Consol Pg 1",#N/A,FALSE,"FPL Consolidated";"FPL Consol Pg 2",#N/A,FALSE,"FPL Consolidated"}</definedName>
    <definedName name="wrn.FPL._.Consolidated." localSheetId="1" hidden="1">{"Fpl Consol Pg 1",#N/A,FALSE,"FPL Consolidated";"FPL Consol Pg 2",#N/A,FALSE,"FPL Consolidated"}</definedName>
    <definedName name="wrn.FPL._.Consolidated." localSheetId="4" hidden="1">{"Fpl Consol Pg 1",#N/A,FALSE,"FPL Consolidated";"FPL Consol Pg 2",#N/A,FALSE,"FPL Consolidated"}</definedName>
    <definedName name="wrn.FPL._.Consolidated." localSheetId="6" hidden="1">{"Fpl Consol Pg 1",#N/A,FALSE,"FPL Consolidated";"FPL Consol Pg 2",#N/A,FALSE,"FPL Consolidated"}</definedName>
    <definedName name="wrn.FPL._.Consolidated." localSheetId="9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Report." localSheetId="2" hidden="1">{"Assumptions",#N/A,FALSE,"Sheet1";"Main Report",#N/A,FALSE,"Sheet1";"Results",#N/A,FALSE,"Sheet1";"Advances",#N/A,FALSE,"Sheet1"}</definedName>
    <definedName name="wrn.Full._.Report." localSheetId="8" hidden="1">{"Assumptions",#N/A,FALSE,"Sheet1";"Main Report",#N/A,FALSE,"Sheet1";"Results",#N/A,FALSE,"Sheet1";"Advances",#N/A,FALSE,"Sheet1"}</definedName>
    <definedName name="wrn.Full._.Report." localSheetId="9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2" hidden="1">{"Assumptions",#N/A,FALSE,"Sheet1";"Main Report",#N/A,FALSE,"Sheet1";"Results",#N/A,FALSE,"Sheet1";"Advances",#N/A,FALSE,"Sheet1"}</definedName>
    <definedName name="wrn.Full._.Report._1" localSheetId="8" hidden="1">{"Assumptions",#N/A,FALSE,"Sheet1";"Main Report",#N/A,FALSE,"Sheet1";"Results",#N/A,FALSE,"Sheet1";"Advances",#N/A,FALSE,"Sheet1"}</definedName>
    <definedName name="wrn.Full._.Report._1" localSheetId="9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8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9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8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9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localSheetId="2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localSheetId="8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localSheetId="9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2" hidden="1">{"Apr94_Sep94",#N/A,FALSE,"Apr 94 - Sep 94"}</definedName>
    <definedName name="wrn.Laud._.Apr94._.Sep94." localSheetId="5" hidden="1">{"Apr94_Sep94",#N/A,FALSE,"Apr 94 - Sep 94"}</definedName>
    <definedName name="wrn.Laud._.Apr94._.Sep94." localSheetId="7" hidden="1">{"Apr94_Sep94",#N/A,FALSE,"Apr 94 - Sep 94"}</definedName>
    <definedName name="wrn.Laud._.Apr94._.Sep94." localSheetId="8" hidden="1">{"Apr94_Sep94",#N/A,FALSE,"Apr 94 - Sep 94"}</definedName>
    <definedName name="wrn.Laud._.Apr94._.Sep94." localSheetId="1" hidden="1">{"Apr94_Sep94",#N/A,FALSE,"Apr 94 - Sep 94"}</definedName>
    <definedName name="wrn.Laud._.Apr94._.Sep94." localSheetId="4" hidden="1">{"Apr94_Sep94",#N/A,FALSE,"Apr 94 - Sep 94"}</definedName>
    <definedName name="wrn.Laud._.Apr94._.Sep94." localSheetId="6" hidden="1">{"Apr94_Sep94",#N/A,FALSE,"Apr 94 - Sep 94"}</definedName>
    <definedName name="wrn.Laud._.Apr94._.Sep94." localSheetId="9" hidden="1">{"Apr94_Sep94",#N/A,FALSE,"Apr 94 - Sep 94"}</definedName>
    <definedName name="wrn.Laud._.Apr94._.Sep94." hidden="1">{"Apr94_Sep94",#N/A,FALSE,"Apr 94 - Sep 94"}</definedName>
    <definedName name="wrn.Laud._.Apr95._.Sep95." localSheetId="2" hidden="1">{"Apr95_Sep95",#N/A,FALSE,"Apr 95 - Sep 95"}</definedName>
    <definedName name="wrn.Laud._.Apr95._.Sep95." localSheetId="5" hidden="1">{"Apr95_Sep95",#N/A,FALSE,"Apr 95 - Sep 95"}</definedName>
    <definedName name="wrn.Laud._.Apr95._.Sep95." localSheetId="7" hidden="1">{"Apr95_Sep95",#N/A,FALSE,"Apr 95 - Sep 95"}</definedName>
    <definedName name="wrn.Laud._.Apr95._.Sep95." localSheetId="8" hidden="1">{"Apr95_Sep95",#N/A,FALSE,"Apr 95 - Sep 95"}</definedName>
    <definedName name="wrn.Laud._.Apr95._.Sep95." localSheetId="1" hidden="1">{"Apr95_Sep95",#N/A,FALSE,"Apr 95 - Sep 95"}</definedName>
    <definedName name="wrn.Laud._.Apr95._.Sep95." localSheetId="4" hidden="1">{"Apr95_Sep95",#N/A,FALSE,"Apr 95 - Sep 95"}</definedName>
    <definedName name="wrn.Laud._.Apr95._.Sep95." localSheetId="6" hidden="1">{"Apr95_Sep95",#N/A,FALSE,"Apr 95 - Sep 95"}</definedName>
    <definedName name="wrn.Laud._.Apr95._.Sep95." localSheetId="9" hidden="1">{"Apr95_Sep95",#N/A,FALSE,"Apr 95 - Sep 95"}</definedName>
    <definedName name="wrn.Laud._.Apr95._.Sep95." hidden="1">{"Apr95_Sep95",#N/A,FALSE,"Apr 95 - Sep 95"}</definedName>
    <definedName name="wrn.Laud._.Oct93._.Mar94." localSheetId="2" hidden="1">{"Oct93_Mar94",#N/A,FALSE,"Oct 93 - Mar 94"}</definedName>
    <definedName name="wrn.Laud._.Oct93._.Mar94." localSheetId="5" hidden="1">{"Oct93_Mar94",#N/A,FALSE,"Oct 93 - Mar 94"}</definedName>
    <definedName name="wrn.Laud._.Oct93._.Mar94." localSheetId="7" hidden="1">{"Oct93_Mar94",#N/A,FALSE,"Oct 93 - Mar 94"}</definedName>
    <definedName name="wrn.Laud._.Oct93._.Mar94." localSheetId="8" hidden="1">{"Oct93_Mar94",#N/A,FALSE,"Oct 93 - Mar 94"}</definedName>
    <definedName name="wrn.Laud._.Oct93._.Mar94." localSheetId="1" hidden="1">{"Oct93_Mar94",#N/A,FALSE,"Oct 93 - Mar 94"}</definedName>
    <definedName name="wrn.Laud._.Oct93._.Mar94." localSheetId="4" hidden="1">{"Oct93_Mar94",#N/A,FALSE,"Oct 93 - Mar 94"}</definedName>
    <definedName name="wrn.Laud._.Oct93._.Mar94." localSheetId="6" hidden="1">{"Oct93_Mar94",#N/A,FALSE,"Oct 93 - Mar 94"}</definedName>
    <definedName name="wrn.Laud._.Oct93._.Mar94." localSheetId="9" hidden="1">{"Oct93_Mar94",#N/A,FALSE,"Oct 93 - Mar 94"}</definedName>
    <definedName name="wrn.Laud._.Oct93._.Mar94." hidden="1">{"Oct93_Mar94",#N/A,FALSE,"Oct 93 - Mar 94"}</definedName>
    <definedName name="wrn.Laud._.Oct94._.Mar95." localSheetId="2" hidden="1">{"Oct94_Mar95",#N/A,FALSE,"Oct 94 - Mar 95"}</definedName>
    <definedName name="wrn.Laud._.Oct94._.Mar95." localSheetId="5" hidden="1">{"Oct94_Mar95",#N/A,FALSE,"Oct 94 - Mar 95"}</definedName>
    <definedName name="wrn.Laud._.Oct94._.Mar95." localSheetId="7" hidden="1">{"Oct94_Mar95",#N/A,FALSE,"Oct 94 - Mar 95"}</definedName>
    <definedName name="wrn.Laud._.Oct94._.Mar95." localSheetId="8" hidden="1">{"Oct94_Mar95",#N/A,FALSE,"Oct 94 - Mar 95"}</definedName>
    <definedName name="wrn.Laud._.Oct94._.Mar95." localSheetId="1" hidden="1">{"Oct94_Mar95",#N/A,FALSE,"Oct 94 - Mar 95"}</definedName>
    <definedName name="wrn.Laud._.Oct94._.Mar95." localSheetId="4" hidden="1">{"Oct94_Mar95",#N/A,FALSE,"Oct 94 - Mar 95"}</definedName>
    <definedName name="wrn.Laud._.Oct94._.Mar95." localSheetId="6" hidden="1">{"Oct94_Mar95",#N/A,FALSE,"Oct 94 - Mar 95"}</definedName>
    <definedName name="wrn.Laud._.Oct94._.Mar95." localSheetId="9" hidden="1">{"Oct94_Mar95",#N/A,FALSE,"Oct 94 - Mar 95"}</definedName>
    <definedName name="wrn.Laud._.Oct94._.Mar95." hidden="1">{"Oct94_Mar95",#N/A,FALSE,"Oct 94 - Mar 95"}</definedName>
    <definedName name="wrn.Laud._.Oct95._.Mar96." localSheetId="2" hidden="1">{"Oct95_Mar96",#N/A,FALSE,"Oct 95 - Mar 96"}</definedName>
    <definedName name="wrn.Laud._.Oct95._.Mar96." localSheetId="5" hidden="1">{"Oct95_Mar96",#N/A,FALSE,"Oct 95 - Mar 96"}</definedName>
    <definedName name="wrn.Laud._.Oct95._.Mar96." localSheetId="7" hidden="1">{"Oct95_Mar96",#N/A,FALSE,"Oct 95 - Mar 96"}</definedName>
    <definedName name="wrn.Laud._.Oct95._.Mar96." localSheetId="8" hidden="1">{"Oct95_Mar96",#N/A,FALSE,"Oct 95 - Mar 96"}</definedName>
    <definedName name="wrn.Laud._.Oct95._.Mar96." localSheetId="1" hidden="1">{"Oct95_Mar96",#N/A,FALSE,"Oct 95 - Mar 96"}</definedName>
    <definedName name="wrn.Laud._.Oct95._.Mar96." localSheetId="4" hidden="1">{"Oct95_Mar96",#N/A,FALSE,"Oct 95 - Mar 96"}</definedName>
    <definedName name="wrn.Laud._.Oct95._.Mar96." localSheetId="6" hidden="1">{"Oct95_Mar96",#N/A,FALSE,"Oct 95 - Mar 96"}</definedName>
    <definedName name="wrn.Laud._.Oct95._.Mar96." localSheetId="9" hidden="1">{"Oct95_Mar96",#N/A,FALSE,"Oct 95 - Mar 96"}</definedName>
    <definedName name="wrn.Laud._.Oct95._.Mar96." hidden="1">{"Oct95_Mar96",#N/A,FALSE,"Oct 95 - Mar 96"}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localSheetId="5" hidden="1">{"LI AFUDC DEBT 10282",#N/A,FALSE,"TXFORCST.XLS";"LIT AFUDC 10280",#N/A,FALSE,"TXFORCST.XLS";"LIT DEPR EXP 10281",#N/A,FALSE,"TXFORCST.XLS"}</definedName>
    <definedName name="wrn.LITIGATION." localSheetId="7" hidden="1">{"LI AFUDC DEBT 10282",#N/A,FALSE,"TXFORCST.XLS";"LIT AFUDC 10280",#N/A,FALSE,"TXFORCST.XLS";"LIT DEPR EXP 10281",#N/A,FALSE,"TXFORCST.XLS"}</definedName>
    <definedName name="wrn.LITIGATION." localSheetId="8" hidden="1">{"LI AFUDC DEBT 10282",#N/A,FALSE,"TXFORCST.XLS";"LIT AFUDC 10280",#N/A,FALSE,"TXFORCST.XLS";"LIT DEPR EXP 10281",#N/A,FALSE,"TXFORCST.XLS"}</definedName>
    <definedName name="wrn.LITIGATION." localSheetId="1" hidden="1">{"LI AFUDC DEBT 10282",#N/A,FALSE,"TXFORCST.XLS";"LIT AFUDC 10280",#N/A,FALSE,"TXFORCST.XLS";"LIT DEPR EXP 10281",#N/A,FALSE,"TXFORCST.XLS"}</definedName>
    <definedName name="wrn.LITIGATION." localSheetId="4" hidden="1">{"LI AFUDC DEBT 10282",#N/A,FALSE,"TXFORCST.XLS";"LIT AFUDC 10280",#N/A,FALSE,"TXFORCST.XLS";"LIT DEPR EXP 10281",#N/A,FALSE,"TXFORCST.XLS"}</definedName>
    <definedName name="wrn.LITIGATION." localSheetId="6" hidden="1">{"LI AFUDC DEBT 10282",#N/A,FALSE,"TXFORCST.XLS";"LIT AFUDC 10280",#N/A,FALSE,"TXFORCST.XLS";"LIT DEPR EXP 10281",#N/A,FALSE,"TXFORCST.XLS"}</definedName>
    <definedName name="wrn.LITIGATION." localSheetId="9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rket._.Op._.Exp." localSheetId="2" hidden="1">{#N/A,#N/A,FALSE,"MARKET"}</definedName>
    <definedName name="wrn.Market._.Op._.Exp." localSheetId="8" hidden="1">{#N/A,#N/A,FALSE,"MARKET"}</definedName>
    <definedName name="wrn.Market._.Op._.Exp." localSheetId="9" hidden="1">{#N/A,#N/A,FALSE,"MARKET"}</definedName>
    <definedName name="wrn.Market._.Op._.Exp." hidden="1">{#N/A,#N/A,FALSE,"MARKET"}</definedName>
    <definedName name="wrn.Market._.Op._.Exp._1" localSheetId="2" hidden="1">{#N/A,#N/A,FALSE,"MARKET"}</definedName>
    <definedName name="wrn.Market._.Op._.Exp._1" localSheetId="8" hidden="1">{#N/A,#N/A,FALSE,"MARKET"}</definedName>
    <definedName name="wrn.Market._.Op._.Exp._1" localSheetId="9" hidden="1">{#N/A,#N/A,FALSE,"MARKET"}</definedName>
    <definedName name="wrn.Market._.Op._.Exp._1" hidden="1">{#N/A,#N/A,FALSE,"MARKET"}</definedName>
    <definedName name="wrn.Market._.Share._.Report.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8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9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8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9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localSheetId="2" hidden="1">{"MARKETING SCHEDULE",#N/A,FALSE,"FINAL"}</definedName>
    <definedName name="wrn.MARKETING._.SCHEDULE." localSheetId="5" hidden="1">{"MARKETING SCHEDULE",#N/A,FALSE,"FINAL"}</definedName>
    <definedName name="wrn.MARKETING._.SCHEDULE." localSheetId="7" hidden="1">{"MARKETING SCHEDULE",#N/A,FALSE,"FINAL"}</definedName>
    <definedName name="wrn.MARKETING._.SCHEDULE." localSheetId="8" hidden="1">{"MARKETING SCHEDULE",#N/A,FALSE,"FINAL"}</definedName>
    <definedName name="wrn.MARKETING._.SCHEDULE." localSheetId="1" hidden="1">{"MARKETING SCHEDULE",#N/A,FALSE,"FINAL"}</definedName>
    <definedName name="wrn.MARKETING._.SCHEDULE." localSheetId="6" hidden="1">{"MARKETING SCHEDULE",#N/A,FALSE,"FINAL"}</definedName>
    <definedName name="wrn.MARKETING._.SCHEDULE." localSheetId="9" hidden="1">{"MARKETING SCHEDULE",#N/A,FALSE,"FINAL"}</definedName>
    <definedName name="wrn.MARKETING._.SCHEDULE." hidden="1">{"MARKETING SCHEDULE",#N/A,FALSE,"FINAL"}</definedName>
    <definedName name="wrn.Martin._.Apr94_Sep94." localSheetId="2" hidden="1">{"Martin Apr94_Sep94",#N/A,FALSE,"Martin Apr94 - Sep94"}</definedName>
    <definedName name="wrn.Martin._.Apr94_Sep94." localSheetId="5" hidden="1">{"Martin Apr94_Sep94",#N/A,FALSE,"Martin Apr94 - Sep94"}</definedName>
    <definedName name="wrn.Martin._.Apr94_Sep94." localSheetId="7" hidden="1">{"Martin Apr94_Sep94",#N/A,FALSE,"Martin Apr94 - Sep94"}</definedName>
    <definedName name="wrn.Martin._.Apr94_Sep94." localSheetId="8" hidden="1">{"Martin Apr94_Sep94",#N/A,FALSE,"Martin Apr94 - Sep94"}</definedName>
    <definedName name="wrn.Martin._.Apr94_Sep94." localSheetId="1" hidden="1">{"Martin Apr94_Sep94",#N/A,FALSE,"Martin Apr94 - Sep94"}</definedName>
    <definedName name="wrn.Martin._.Apr94_Sep94." localSheetId="4" hidden="1">{"Martin Apr94_Sep94",#N/A,FALSE,"Martin Apr94 - Sep94"}</definedName>
    <definedName name="wrn.Martin._.Apr94_Sep94." localSheetId="6" hidden="1">{"Martin Apr94_Sep94",#N/A,FALSE,"Martin Apr94 - Sep94"}</definedName>
    <definedName name="wrn.Martin._.Apr94_Sep94." localSheetId="9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2" hidden="1">{"Martin Apr95_Sep95",#N/A,FALSE,"Martin Apr95 - Sep95"}</definedName>
    <definedName name="wrn.Martin._.Apr95_Sep95." localSheetId="5" hidden="1">{"Martin Apr95_Sep95",#N/A,FALSE,"Martin Apr95 - Sep95"}</definedName>
    <definedName name="wrn.Martin._.Apr95_Sep95." localSheetId="7" hidden="1">{"Martin Apr95_Sep95",#N/A,FALSE,"Martin Apr95 - Sep95"}</definedName>
    <definedName name="wrn.Martin._.Apr95_Sep95." localSheetId="8" hidden="1">{"Martin Apr95_Sep95",#N/A,FALSE,"Martin Apr95 - Sep95"}</definedName>
    <definedName name="wrn.Martin._.Apr95_Sep95." localSheetId="1" hidden="1">{"Martin Apr95_Sep95",#N/A,FALSE,"Martin Apr95 - Sep95"}</definedName>
    <definedName name="wrn.Martin._.Apr95_Sep95." localSheetId="4" hidden="1">{"Martin Apr95_Sep95",#N/A,FALSE,"Martin Apr95 - Sep95"}</definedName>
    <definedName name="wrn.Martin._.Apr95_Sep95." localSheetId="6" hidden="1">{"Martin Apr95_Sep95",#N/A,FALSE,"Martin Apr95 - Sep95"}</definedName>
    <definedName name="wrn.Martin._.Apr95_Sep95." localSheetId="9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2" hidden="1">{"Martin Oct93_Mar94",#N/A,FALSE,"Martin Oct93 - Mar94"}</definedName>
    <definedName name="wrn.Martin._.Oct93_Mar94." localSheetId="5" hidden="1">{"Martin Oct93_Mar94",#N/A,FALSE,"Martin Oct93 - Mar94"}</definedName>
    <definedName name="wrn.Martin._.Oct93_Mar94." localSheetId="7" hidden="1">{"Martin Oct93_Mar94",#N/A,FALSE,"Martin Oct93 - Mar94"}</definedName>
    <definedName name="wrn.Martin._.Oct93_Mar94." localSheetId="8" hidden="1">{"Martin Oct93_Mar94",#N/A,FALSE,"Martin Oct93 - Mar94"}</definedName>
    <definedName name="wrn.Martin._.Oct93_Mar94." localSheetId="1" hidden="1">{"Martin Oct93_Mar94",#N/A,FALSE,"Martin Oct93 - Mar94"}</definedName>
    <definedName name="wrn.Martin._.Oct93_Mar94." localSheetId="4" hidden="1">{"Martin Oct93_Mar94",#N/A,FALSE,"Martin Oct93 - Mar94"}</definedName>
    <definedName name="wrn.Martin._.Oct93_Mar94." localSheetId="6" hidden="1">{"Martin Oct93_Mar94",#N/A,FALSE,"Martin Oct93 - Mar94"}</definedName>
    <definedName name="wrn.Martin._.Oct93_Mar94." localSheetId="9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2" hidden="1">{"Martin Oct94_Mar95",#N/A,FALSE,"Martin Oct94 - Mar95"}</definedName>
    <definedName name="wrn.Martin._.Oct94_Mar95." localSheetId="5" hidden="1">{"Martin Oct94_Mar95",#N/A,FALSE,"Martin Oct94 - Mar95"}</definedName>
    <definedName name="wrn.Martin._.Oct94_Mar95." localSheetId="7" hidden="1">{"Martin Oct94_Mar95",#N/A,FALSE,"Martin Oct94 - Mar95"}</definedName>
    <definedName name="wrn.Martin._.Oct94_Mar95." localSheetId="8" hidden="1">{"Martin Oct94_Mar95",#N/A,FALSE,"Martin Oct94 - Mar95"}</definedName>
    <definedName name="wrn.Martin._.Oct94_Mar95." localSheetId="1" hidden="1">{"Martin Oct94_Mar95",#N/A,FALSE,"Martin Oct94 - Mar95"}</definedName>
    <definedName name="wrn.Martin._.Oct94_Mar95." localSheetId="4" hidden="1">{"Martin Oct94_Mar95",#N/A,FALSE,"Martin Oct94 - Mar95"}</definedName>
    <definedName name="wrn.Martin._.Oct94_Mar95." localSheetId="6" hidden="1">{"Martin Oct94_Mar95",#N/A,FALSE,"Martin Oct94 - Mar95"}</definedName>
    <definedName name="wrn.Martin._.Oct94_Mar95." localSheetId="9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2" hidden="1">{"Martin Oct95_Mar96",#N/A,FALSE,"Martin Oct95 - Mar96"}</definedName>
    <definedName name="wrn.Martin._.Oct95_Mar96." localSheetId="5" hidden="1">{"Martin Oct95_Mar96",#N/A,FALSE,"Martin Oct95 - Mar96"}</definedName>
    <definedName name="wrn.Martin._.Oct95_Mar96." localSheetId="7" hidden="1">{"Martin Oct95_Mar96",#N/A,FALSE,"Martin Oct95 - Mar96"}</definedName>
    <definedName name="wrn.Martin._.Oct95_Mar96." localSheetId="8" hidden="1">{"Martin Oct95_Mar96",#N/A,FALSE,"Martin Oct95 - Mar96"}</definedName>
    <definedName name="wrn.Martin._.Oct95_Mar96." localSheetId="1" hidden="1">{"Martin Oct95_Mar96",#N/A,FALSE,"Martin Oct95 - Mar96"}</definedName>
    <definedName name="wrn.Martin._.Oct95_Mar96." localSheetId="4" hidden="1">{"Martin Oct95_Mar96",#N/A,FALSE,"Martin Oct95 - Mar96"}</definedName>
    <definedName name="wrn.Martin._.Oct95_Mar96." localSheetId="6" hidden="1">{"Martin Oct95_Mar96",#N/A,FALSE,"Martin Oct95 - Mar96"}</definedName>
    <definedName name="wrn.Martin._.Oct95_Mar96." localSheetId="9" hidden="1">{"Martin Oct95_Mar96",#N/A,FALSE,"Martin Oct95 - Mar96"}</definedName>
    <definedName name="wrn.Martin._.Oct95_Mar96." hidden="1">{"Martin Oct95_Mar96",#N/A,FALSE,"Martin Oct95 - Mar96"}</definedName>
    <definedName name="wrn.Month.Qtr.YTD." localSheetId="2" hidden="1">{#N/A,#N/A,FALSE,"Cover";"NI_Mon.Qtr.YTD",#N/A,FALSE,"Net Income";"Earnings_Month.Qtr.YTD",#N/A,FALSE,"Earnings";#N/A,#N/A,FALSE,"Indicators"}</definedName>
    <definedName name="wrn.Month.Qtr.YTD." localSheetId="5" hidden="1">{#N/A,#N/A,FALSE,"Cover";"NI_Mon.Qtr.YTD",#N/A,FALSE,"Net Income";"Earnings_Month.Qtr.YTD",#N/A,FALSE,"Earnings";#N/A,#N/A,FALSE,"Indicators"}</definedName>
    <definedName name="wrn.Month.Qtr.YTD." localSheetId="7" hidden="1">{#N/A,#N/A,FALSE,"Cover";"NI_Mon.Qtr.YTD",#N/A,FALSE,"Net Income";"Earnings_Month.Qtr.YTD",#N/A,FALSE,"Earnings";#N/A,#N/A,FALSE,"Indicators"}</definedName>
    <definedName name="wrn.Month.Qtr.YTD." localSheetId="8" hidden="1">{#N/A,#N/A,FALSE,"Cover";"NI_Mon.Qtr.YTD",#N/A,FALSE,"Net Income";"Earnings_Month.Qtr.YTD",#N/A,FALSE,"Earnings";#N/A,#N/A,FALSE,"Indicators"}</definedName>
    <definedName name="wrn.Month.Qtr.YTD." localSheetId="1" hidden="1">{#N/A,#N/A,FALSE,"Cover";"NI_Mon.Qtr.YTD",#N/A,FALSE,"Net Income";"Earnings_Month.Qtr.YTD",#N/A,FALSE,"Earnings";#N/A,#N/A,FALSE,"Indicators"}</definedName>
    <definedName name="wrn.Month.Qtr.YTD." localSheetId="4" hidden="1">{#N/A,#N/A,FALSE,"Cover";"NI_Mon.Qtr.YTD",#N/A,FALSE,"Net Income";"Earnings_Month.Qtr.YTD",#N/A,FALSE,"Earnings";#N/A,#N/A,FALSE,"Indicators"}</definedName>
    <definedName name="wrn.Month.Qtr.YTD." localSheetId="6" hidden="1">{#N/A,#N/A,FALSE,"Cover";"NI_Mon.Qtr.YTD",#N/A,FALSE,"Net Income";"Earnings_Month.Qtr.YTD",#N/A,FALSE,"Earnings";#N/A,#N/A,FALSE,"Indicators"}</definedName>
    <definedName name="wrn.Month.Qtr.YTD." localSheetId="9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2" hidden="1">{#N/A,#N/A,FALSE,"Cover";"NI_Mon.YTD",#N/A,FALSE,"Net Income";"Earnings_Month.YTD",#N/A,FALSE,"Earnings";#N/A,#N/A,FALSE,"Indicators"}</definedName>
    <definedName name="wrn.Month.YTD." localSheetId="5" hidden="1">{#N/A,#N/A,FALSE,"Cover";"NI_Mon.YTD",#N/A,FALSE,"Net Income";"Earnings_Month.YTD",#N/A,FALSE,"Earnings";#N/A,#N/A,FALSE,"Indicators"}</definedName>
    <definedName name="wrn.Month.YTD." localSheetId="7" hidden="1">{#N/A,#N/A,FALSE,"Cover";"NI_Mon.YTD",#N/A,FALSE,"Net Income";"Earnings_Month.YTD",#N/A,FALSE,"Earnings";#N/A,#N/A,FALSE,"Indicators"}</definedName>
    <definedName name="wrn.Month.YTD." localSheetId="8" hidden="1">{#N/A,#N/A,FALSE,"Cover";"NI_Mon.YTD",#N/A,FALSE,"Net Income";"Earnings_Month.YTD",#N/A,FALSE,"Earnings";#N/A,#N/A,FALSE,"Indicators"}</definedName>
    <definedName name="wrn.Month.YTD." localSheetId="1" hidden="1">{#N/A,#N/A,FALSE,"Cover";"NI_Mon.YTD",#N/A,FALSE,"Net Income";"Earnings_Month.YTD",#N/A,FALSE,"Earnings";#N/A,#N/A,FALSE,"Indicators"}</definedName>
    <definedName name="wrn.Month.YTD." localSheetId="4" hidden="1">{#N/A,#N/A,FALSE,"Cover";"NI_Mon.YTD",#N/A,FALSE,"Net Income";"Earnings_Month.YTD",#N/A,FALSE,"Earnings";#N/A,#N/A,FALSE,"Indicators"}</definedName>
    <definedName name="wrn.Month.YTD." localSheetId="6" hidden="1">{#N/A,#N/A,FALSE,"Cover";"NI_Mon.YTD",#N/A,FALSE,"Net Income";"Earnings_Month.YTD",#N/A,FALSE,"Earnings";#N/A,#N/A,FALSE,"Indicators"}</definedName>
    <definedName name="wrn.Month.YTD." localSheetId="9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localSheetId="2" hidden="1">{"MTH_QTR_YTD",#N/A,FALSE,"Summary";"VAR_MTH_QTR_YTD",#N/A,FALSE,"Summary"}</definedName>
    <definedName name="wrn.MONTH_QTR_YTD." localSheetId="8" hidden="1">{"MTH_QTR_YTD",#N/A,FALSE,"Summary";"VAR_MTH_QTR_YTD",#N/A,FALSE,"Summary"}</definedName>
    <definedName name="wrn.MONTH_QTR_YTD." localSheetId="9" hidden="1">{"MTH_QTR_YTD",#N/A,FALSE,"Summary";"VAR_MTH_QTR_YTD",#N/A,FALSE,"Summary"}</definedName>
    <definedName name="wrn.MONTH_QTR_YTD." hidden="1">{"MTH_QTR_YTD",#N/A,FALSE,"Summary";"VAR_MTH_QTR_YTD",#N/A,FALSE,"Summary"}</definedName>
    <definedName name="wrn.MONTH_YTD." localSheetId="2" hidden="1">{"MTH_YTD",#N/A,FALSE,"Summary";"VAR_MTH_YTD",#N/A,FALSE,"Summary"}</definedName>
    <definedName name="wrn.MONTH_YTD." localSheetId="8" hidden="1">{"MTH_YTD",#N/A,FALSE,"Summary";"VAR_MTH_YTD",#N/A,FALSE,"Summary"}</definedName>
    <definedName name="wrn.MONTH_YTD." localSheetId="9" hidden="1">{"MTH_YTD",#N/A,FALSE,"Summary";"VAR_MTH_YTD",#N/A,FALSE,"Summary"}</definedName>
    <definedName name="wrn.MONTH_YTD." hidden="1">{"MTH_YTD",#N/A,FALSE,"Summary";"VAR_MTH_YTD",#N/A,FALSE,"Summary"}</definedName>
    <definedName name="wrn.OBO._.12._.MO._.ENDED." localSheetId="2" hidden="1">{"OBO 12 Month Ended",#N/A,FALSE,"OBO 12 Months"}</definedName>
    <definedName name="wrn.OBO._.12._.MO._.ENDED." localSheetId="5" hidden="1">{"OBO 12 Month Ended",#N/A,FALSE,"OBO 12 Months"}</definedName>
    <definedName name="wrn.OBO._.12._.MO._.ENDED." localSheetId="7" hidden="1">{"OBO 12 Month Ended",#N/A,FALSE,"OBO 12 Months"}</definedName>
    <definedName name="wrn.OBO._.12._.MO._.ENDED." localSheetId="8" hidden="1">{"OBO 12 Month Ended",#N/A,FALSE,"OBO 12 Months"}</definedName>
    <definedName name="wrn.OBO._.12._.MO._.ENDED." localSheetId="1" hidden="1">{"OBO 12 Month Ended",#N/A,FALSE,"OBO 12 Months"}</definedName>
    <definedName name="wrn.OBO._.12._.MO._.ENDED." localSheetId="4" hidden="1">{"OBO 12 Month Ended",#N/A,FALSE,"OBO 12 Months"}</definedName>
    <definedName name="wrn.OBO._.12._.MO._.ENDED." localSheetId="6" hidden="1">{"OBO 12 Month Ended",#N/A,FALSE,"OBO 12 Months"}</definedName>
    <definedName name="wrn.OBO._.12._.MO._.ENDED." localSheetId="9" hidden="1">{"OBO 12 Month Ended",#N/A,FALSE,"OBO 12 Months"}</definedName>
    <definedName name="wrn.OBO._.12._.MO._.ENDED." hidden="1">{"OBO 12 Month Ended",#N/A,FALSE,"OBO 12 Months"}</definedName>
    <definedName name="wrn.OBO._.MONTHLY." localSheetId="2" hidden="1">{"obo monthly",#N/A,FALSE,"OBO Monthly"}</definedName>
    <definedName name="wrn.OBO._.MONTHLY." localSheetId="5" hidden="1">{"obo monthly",#N/A,FALSE,"OBO Monthly"}</definedName>
    <definedName name="wrn.OBO._.MONTHLY." localSheetId="7" hidden="1">{"obo monthly",#N/A,FALSE,"OBO Monthly"}</definedName>
    <definedName name="wrn.OBO._.MONTHLY." localSheetId="8" hidden="1">{"obo monthly",#N/A,FALSE,"OBO Monthly"}</definedName>
    <definedName name="wrn.OBO._.MONTHLY." localSheetId="1" hidden="1">{"obo monthly",#N/A,FALSE,"OBO Monthly"}</definedName>
    <definedName name="wrn.OBO._.MONTHLY." localSheetId="4" hidden="1">{"obo monthly",#N/A,FALSE,"OBO Monthly"}</definedName>
    <definedName name="wrn.OBO._.MONTHLY." localSheetId="6" hidden="1">{"obo monthly",#N/A,FALSE,"OBO Monthly"}</definedName>
    <definedName name="wrn.OBO._.MONTHLY." localSheetId="9" hidden="1">{"obo monthly",#N/A,FALSE,"OBO Monthly"}</definedName>
    <definedName name="wrn.OBO._.MONTHLY." hidden="1">{"obo monthly",#N/A,FALSE,"OBO Monthly"}</definedName>
    <definedName name="wrn.OBO._.Summary." localSheetId="2" hidden="1">{"OBO Deferred Tax Sum",#N/A,FALSE,"OBO DEF TAX"}</definedName>
    <definedName name="wrn.OBO._.Summary." localSheetId="5" hidden="1">{"OBO Deferred Tax Sum",#N/A,FALSE,"OBO DEF TAX"}</definedName>
    <definedName name="wrn.OBO._.Summary." localSheetId="7" hidden="1">{"OBO Deferred Tax Sum",#N/A,FALSE,"OBO DEF TAX"}</definedName>
    <definedName name="wrn.OBO._.Summary." localSheetId="8" hidden="1">{"OBO Deferred Tax Sum",#N/A,FALSE,"OBO DEF TAX"}</definedName>
    <definedName name="wrn.OBO._.Summary." localSheetId="1" hidden="1">{"OBO Deferred Tax Sum",#N/A,FALSE,"OBO DEF TAX"}</definedName>
    <definedName name="wrn.OBO._.Summary." localSheetId="4" hidden="1">{"OBO Deferred Tax Sum",#N/A,FALSE,"OBO DEF TAX"}</definedName>
    <definedName name="wrn.OBO._.Summary." localSheetId="6" hidden="1">{"OBO Deferred Tax Sum",#N/A,FALSE,"OBO DEF TAX"}</definedName>
    <definedName name="wrn.OBO._.Summary." localSheetId="9" hidden="1">{"OBO Deferred Tax Sum",#N/A,FALSE,"OBO DEF TAX"}</definedName>
    <definedName name="wrn.OBO._.Summary." hidden="1">{"OBO Deferred Tax Sum",#N/A,FALSE,"OBO DEF TAX"}</definedName>
    <definedName name="wrn.Oct93_Mar94." localSheetId="2" hidden="1">{"Oct93_Mar94",#N/A,FALSE,"Actuals (Oct 93 - Mar 94)"}</definedName>
    <definedName name="wrn.Oct93_Mar94." localSheetId="5" hidden="1">{"Oct93_Mar94",#N/A,FALSE,"Actuals (Oct 93 - Mar 94)"}</definedName>
    <definedName name="wrn.Oct93_Mar94." localSheetId="7" hidden="1">{"Oct93_Mar94",#N/A,FALSE,"Actuals (Oct 93 - Mar 94)"}</definedName>
    <definedName name="wrn.Oct93_Mar94." localSheetId="8" hidden="1">{"Oct93_Mar94",#N/A,FALSE,"Actuals (Oct 93 - Mar 94)"}</definedName>
    <definedName name="wrn.Oct93_Mar94." localSheetId="1" hidden="1">{"Oct93_Mar94",#N/A,FALSE,"Actuals (Oct 93 - Mar 94)"}</definedName>
    <definedName name="wrn.Oct93_Mar94." localSheetId="4" hidden="1">{"Oct93_Mar94",#N/A,FALSE,"Actuals (Oct 93 - Mar 94)"}</definedName>
    <definedName name="wrn.Oct93_Mar94." localSheetId="6" hidden="1">{"Oct93_Mar94",#N/A,FALSE,"Actuals (Oct 93 - Mar 94)"}</definedName>
    <definedName name="wrn.Oct93_Mar94." localSheetId="9" hidden="1">{"Oct93_Mar94",#N/A,FALSE,"Actuals (Oct 93 - Mar 94)"}</definedName>
    <definedName name="wrn.Oct93_Mar94." hidden="1">{"Oct93_Mar94",#N/A,FALSE,"Actuals (Oct 93 - Mar 94)"}</definedName>
    <definedName name="wrn.Oct94_Mar95." localSheetId="2" hidden="1">{"Oct94_Mar95",#N/A,FALSE,"Actuals (Oct 94 - Mar 95)"}</definedName>
    <definedName name="wrn.Oct94_Mar95." localSheetId="5" hidden="1">{"Oct94_Mar95",#N/A,FALSE,"Actuals (Oct 94 - Mar 95)"}</definedName>
    <definedName name="wrn.Oct94_Mar95." localSheetId="7" hidden="1">{"Oct94_Mar95",#N/A,FALSE,"Actuals (Oct 94 - Mar 95)"}</definedName>
    <definedName name="wrn.Oct94_Mar95." localSheetId="8" hidden="1">{"Oct94_Mar95",#N/A,FALSE,"Actuals (Oct 94 - Mar 95)"}</definedName>
    <definedName name="wrn.Oct94_Mar95." localSheetId="1" hidden="1">{"Oct94_Mar95",#N/A,FALSE,"Actuals (Oct 94 - Mar 95)"}</definedName>
    <definedName name="wrn.Oct94_Mar95." localSheetId="4" hidden="1">{"Oct94_Mar95",#N/A,FALSE,"Actuals (Oct 94 - Mar 95)"}</definedName>
    <definedName name="wrn.Oct94_Mar95." localSheetId="6" hidden="1">{"Oct94_Mar95",#N/A,FALSE,"Actuals (Oct 94 - Mar 95)"}</definedName>
    <definedName name="wrn.Oct94_Mar95." localSheetId="9" hidden="1">{"Oct94_Mar95",#N/A,FALSE,"Actuals (Oct 94 - Mar 95)"}</definedName>
    <definedName name="wrn.Oct94_Mar95." hidden="1">{"Oct94_Mar95",#N/A,FALSE,"Actuals (Oct 94 - Mar 95)"}</definedName>
    <definedName name="wrn.Oct95_Mar96." localSheetId="2" hidden="1">{"Oct95_Mar96",#N/A,FALSE,"Estimates (Oct 95 - Mar 96)"}</definedName>
    <definedName name="wrn.Oct95_Mar96." localSheetId="5" hidden="1">{"Oct95_Mar96",#N/A,FALSE,"Estimates (Oct 95 - Mar 96)"}</definedName>
    <definedName name="wrn.Oct95_Mar96." localSheetId="7" hidden="1">{"Oct95_Mar96",#N/A,FALSE,"Estimates (Oct 95 - Mar 96)"}</definedName>
    <definedName name="wrn.Oct95_Mar96." localSheetId="8" hidden="1">{"Oct95_Mar96",#N/A,FALSE,"Estimates (Oct 95 - Mar 96)"}</definedName>
    <definedName name="wrn.Oct95_Mar96." localSheetId="1" hidden="1">{"Oct95_Mar96",#N/A,FALSE,"Estimates (Oct 95 - Mar 96)"}</definedName>
    <definedName name="wrn.Oct95_Mar96." localSheetId="4" hidden="1">{"Oct95_Mar96",#N/A,FALSE,"Estimates (Oct 95 - Mar 96)"}</definedName>
    <definedName name="wrn.Oct95_Mar96." localSheetId="6" hidden="1">{"Oct95_Mar96",#N/A,FALSE,"Estimates (Oct 95 - Mar 96)"}</definedName>
    <definedName name="wrn.Oct95_Mar96." localSheetId="9" hidden="1">{"Oct95_Mar96",#N/A,FALSE,"Estimates (Oct 95 - Mar 96)"}</definedName>
    <definedName name="wrn.Oct95_Mar96." hidden="1">{"Oct95_Mar96",#N/A,FALSE,"Estimates (Oct 95 - Mar 96)"}</definedName>
    <definedName name="wrn.On._.Air._.Op._.Exp." localSheetId="2" hidden="1">{"view1",#N/A,FALSE,"ON AIR"}</definedName>
    <definedName name="wrn.On._.Air._.Op._.Exp." localSheetId="8" hidden="1">{"view1",#N/A,FALSE,"ON AIR"}</definedName>
    <definedName name="wrn.On._.Air._.Op._.Exp." localSheetId="9" hidden="1">{"view1",#N/A,FALSE,"ON AIR"}</definedName>
    <definedName name="wrn.On._.Air._.Op._.Exp." hidden="1">{"view1",#N/A,FALSE,"ON AIR"}</definedName>
    <definedName name="wrn.On._.Air._.Op._.Exp._1" localSheetId="2" hidden="1">{"view1",#N/A,FALSE,"ON AIR"}</definedName>
    <definedName name="wrn.On._.Air._.Op._.Exp._1" localSheetId="8" hidden="1">{"view1",#N/A,FALSE,"ON AIR"}</definedName>
    <definedName name="wrn.On._.Air._.Op._.Exp._1" localSheetId="9" hidden="1">{"view1",#N/A,FALSE,"ON AIR"}</definedName>
    <definedName name="wrn.On._.Air._.Op._.Exp._1" hidden="1">{"view1",#N/A,FALSE,"ON AIR"}</definedName>
    <definedName name="wrn.Out._.of._.Period." localSheetId="2" hidden="1">{"Out of Period",#N/A,FALSE,"Out of Period"}</definedName>
    <definedName name="wrn.Out._.of._.Period." localSheetId="5" hidden="1">{"Out of Period",#N/A,FALSE,"Out of Period"}</definedName>
    <definedName name="wrn.Out._.of._.Period." localSheetId="7" hidden="1">{"Out of Period",#N/A,FALSE,"Out of Period"}</definedName>
    <definedName name="wrn.Out._.of._.Period." localSheetId="8" hidden="1">{"Out of Period",#N/A,FALSE,"Out of Period"}</definedName>
    <definedName name="wrn.Out._.of._.Period." localSheetId="1" hidden="1">{"Out of Period",#N/A,FALSE,"Out of Period"}</definedName>
    <definedName name="wrn.Out._.of._.Period." localSheetId="4" hidden="1">{"Out of Period",#N/A,FALSE,"Out of Period"}</definedName>
    <definedName name="wrn.Out._.of._.Period." localSheetId="6" hidden="1">{"Out of Period",#N/A,FALSE,"Out of Period"}</definedName>
    <definedName name="wrn.Out._.of._.Period." localSheetId="9" hidden="1">{"Out of Period",#N/A,FALSE,"Out of Period"}</definedName>
    <definedName name="wrn.Out._.of._.Period." hidden="1">{"Out of Period",#N/A,FALSE,"Out of Period"}</definedName>
    <definedName name="wrn.PPAGE2." localSheetId="2" hidden="1">{"PPAGE2",#N/A,FALSE,"JAN95_OU"}</definedName>
    <definedName name="wrn.PPAGE2." localSheetId="5" hidden="1">{"PPAGE2",#N/A,FALSE,"JAN95_OU"}</definedName>
    <definedName name="wrn.PPAGE2." localSheetId="7" hidden="1">{"PPAGE2",#N/A,FALSE,"JAN95_OU"}</definedName>
    <definedName name="wrn.PPAGE2." localSheetId="8" hidden="1">{"PPAGE2",#N/A,FALSE,"JAN95_OU"}</definedName>
    <definedName name="wrn.PPAGE2." localSheetId="1" hidden="1">{"PPAGE2",#N/A,FALSE,"JAN95_OU"}</definedName>
    <definedName name="wrn.PPAGE2." localSheetId="4" hidden="1">{"PPAGE2",#N/A,FALSE,"JAN95_OU"}</definedName>
    <definedName name="wrn.PPAGE2." localSheetId="6" hidden="1">{"PPAGE2",#N/A,FALSE,"JAN95_OU"}</definedName>
    <definedName name="wrn.PPAGE2." localSheetId="9" hidden="1">{"PPAGE2",#N/A,FALSE,"JAN95_OU"}</definedName>
    <definedName name="wrn.PPAGE2." hidden="1">{"PPAGE2",#N/A,FALSE,"JAN95_OU"}</definedName>
    <definedName name="wrn.PPAGE3." localSheetId="2" hidden="1">{"PPAGE3",#N/A,FALSE,"JAN95_OU"}</definedName>
    <definedName name="wrn.PPAGE3." localSheetId="5" hidden="1">{"PPAGE3",#N/A,FALSE,"JAN95_OU"}</definedName>
    <definedName name="wrn.PPAGE3." localSheetId="7" hidden="1">{"PPAGE3",#N/A,FALSE,"JAN95_OU"}</definedName>
    <definedName name="wrn.PPAGE3." localSheetId="8" hidden="1">{"PPAGE3",#N/A,FALSE,"JAN95_OU"}</definedName>
    <definedName name="wrn.PPAGE3." localSheetId="1" hidden="1">{"PPAGE3",#N/A,FALSE,"JAN95_OU"}</definedName>
    <definedName name="wrn.PPAGE3." localSheetId="4" hidden="1">{"PPAGE3",#N/A,FALSE,"JAN95_OU"}</definedName>
    <definedName name="wrn.PPAGE3." localSheetId="6" hidden="1">{"PPAGE3",#N/A,FALSE,"JAN95_OU"}</definedName>
    <definedName name="wrn.PPAGE3." localSheetId="9" hidden="1">{"PPAGE3",#N/A,FALSE,"JAN95_OU"}</definedName>
    <definedName name="wrn.PPAGE3." hidden="1">{"PPAGE3",#N/A,FALSE,"JAN95_OU"}</definedName>
    <definedName name="wrn.PRELIMINARY._.ALL._.PAGES." localSheetId="2" hidden="1">{"PRELIMINARY",#N/A,FALSE,"MAR95_OU"}</definedName>
    <definedName name="wrn.PRELIMINARY._.ALL._.PAGES." localSheetId="5" hidden="1">{"PRELIMINARY",#N/A,FALSE,"MAR95_OU"}</definedName>
    <definedName name="wrn.PRELIMINARY._.ALL._.PAGES." localSheetId="7" hidden="1">{"PRELIMINARY",#N/A,FALSE,"MAR95_OU"}</definedName>
    <definedName name="wrn.PRELIMINARY._.ALL._.PAGES." localSheetId="8" hidden="1">{"PRELIMINARY",#N/A,FALSE,"MAR95_OU"}</definedName>
    <definedName name="wrn.PRELIMINARY._.ALL._.PAGES." localSheetId="1" hidden="1">{"PRELIMINARY",#N/A,FALSE,"MAR95_OU"}</definedName>
    <definedName name="wrn.PRELIMINARY._.ALL._.PAGES." localSheetId="4" hidden="1">{"PRELIMINARY",#N/A,FALSE,"MAR95_OU"}</definedName>
    <definedName name="wrn.PRELIMINARY._.ALL._.PAGES." localSheetId="6" hidden="1">{"PRELIMINARY",#N/A,FALSE,"MAR95_OU"}</definedName>
    <definedName name="wrn.PRELIMINARY._.ALL._.PAGES." localSheetId="9" hidden="1">{"PRELIMINARY",#N/A,FALSE,"MAR95_OU"}</definedName>
    <definedName name="wrn.PRELIMINARY._.ALL._.PAGES." hidden="1">{"PRELIMINARY",#N/A,FALSE,"MAR95_OU"}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8" hidden="1">{"cap_structure",#N/A,FALSE,"Graph-Mkt Cap";"price",#N/A,FALSE,"Graph-Price";"ebit",#N/A,FALSE,"Graph-EBITDA";"ebitda",#N/A,FALSE,"Graph-EBITDA"}</definedName>
    <definedName name="wrn.print._.graphs." localSheetId="9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graphs._1" localSheetId="2" hidden="1">{"cap_structure",#N/A,FALSE,"Graph-Mkt Cap";"price",#N/A,FALSE,"Graph-Price";"ebit",#N/A,FALSE,"Graph-EBITDA";"ebitda",#N/A,FALSE,"Graph-EBITDA"}</definedName>
    <definedName name="wrn.print._.graphs._1" localSheetId="8" hidden="1">{"cap_structure",#N/A,FALSE,"Graph-Mkt Cap";"price",#N/A,FALSE,"Graph-Price";"ebit",#N/A,FALSE,"Graph-EBITDA";"ebitda",#N/A,FALSE,"Graph-EBITDA"}</definedName>
    <definedName name="wrn.print._.graphs._1" localSheetId="9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8" hidden="1">{"inputs raw data",#N/A,TRUE,"INPUT"}</definedName>
    <definedName name="wrn.print._.raw._.data._.entry." localSheetId="9" hidden="1">{"inputs raw data",#N/A,TRUE,"INPUT"}</definedName>
    <definedName name="wrn.print._.raw._.data._.entry." hidden="1">{"inputs raw data",#N/A,TRUE,"INPUT"}</definedName>
    <definedName name="wrn.print._.raw._.data._.entry._1" localSheetId="2" hidden="1">{"inputs raw data",#N/A,TRUE,"INPUT"}</definedName>
    <definedName name="wrn.print._.raw._.data._.entry._1" localSheetId="8" hidden="1">{"inputs raw data",#N/A,TRUE,"INPUT"}</definedName>
    <definedName name="wrn.print._.raw._.data._.entry._1" localSheetId="9" hidden="1">{"inputs raw data",#N/A,TRUE,"INPUT"}</definedName>
    <definedName name="wrn.print._.raw._.data._.entry._1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8" hidden="1">{"summary1",#N/A,TRUE,"Comps";"summary2",#N/A,TRUE,"Comps";"summary3",#N/A,TRUE,"Comps"}</definedName>
    <definedName name="wrn.print._.summary._.sheets." localSheetId="9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_1" localSheetId="2" hidden="1">{"summary1",#N/A,TRUE,"Comps";"summary2",#N/A,TRUE,"Comps";"summary3",#N/A,TRUE,"Comps"}</definedName>
    <definedName name="wrn.print._.summary._.sheets._1" localSheetId="8" hidden="1">{"summary1",#N/A,TRUE,"Comps";"summary2",#N/A,TRUE,"Comps";"summary3",#N/A,TRUE,"Comps"}</definedName>
    <definedName name="wrn.print._.summary._.sheets._1" localSheetId="9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8" hidden="1">{"summary1",#N/A,TRUE,"Comps";"summary2",#N/A,TRUE,"Comps";"summary3",#N/A,TRUE,"Comps"}</definedName>
    <definedName name="wrn.print._.summary._.sheets.2" localSheetId="9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localSheetId="2" hidden="1">{"summary1",#N/A,TRUE,"Comps";"summary2",#N/A,TRUE,"Comps";"summary3",#N/A,TRUE,"Comps"}</definedName>
    <definedName name="wrn.print._.summary._.sheets.2_1" localSheetId="8" hidden="1">{"summary1",#N/A,TRUE,"Comps";"summary2",#N/A,TRUE,"Comps";"summary3",#N/A,TRUE,"Comps"}</definedName>
    <definedName name="wrn.print._.summary._.sheets.2_1" localSheetId="9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8" hidden="1">{#N/A,"DR",FALSE,"increm pf";#N/A,"MAMSI",FALSE,"increm pf";#N/A,"MAXI",FALSE,"increm pf";#N/A,"PCAM",FALSE,"increm pf";#N/A,"PHSV",FALSE,"increm pf";#N/A,"SIE",FALSE,"increm pf"}</definedName>
    <definedName name="wrn.Print_Buyer." localSheetId="9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localSheetId="2" hidden="1">{#N/A,"DR",FALSE,"increm pf";#N/A,"MAMSI",FALSE,"increm pf";#N/A,"MAXI",FALSE,"increm pf";#N/A,"PCAM",FALSE,"increm pf";#N/A,"PHSV",FALSE,"increm pf";#N/A,"SIE",FALSE,"increm pf"}</definedName>
    <definedName name="wrn.Print_Buyer._1" localSheetId="8" hidden="1">{#N/A,"DR",FALSE,"increm pf";#N/A,"MAMSI",FALSE,"increm pf";#N/A,"MAXI",FALSE,"increm pf";#N/A,"PCAM",FALSE,"increm pf";#N/A,"PHSV",FALSE,"increm pf";#N/A,"SIE",FALSE,"increm pf"}</definedName>
    <definedName name="wrn.Print_Buyer._1" localSheetId="9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localSheetId="2" hidden="1">{"PROOF",#N/A,FALSE,"FINAL"}</definedName>
    <definedName name="wrn.PROOF." localSheetId="5" hidden="1">{"PROOF",#N/A,FALSE,"FINAL"}</definedName>
    <definedName name="wrn.PROOF." localSheetId="7" hidden="1">{"PROOF",#N/A,FALSE,"FINAL"}</definedName>
    <definedName name="wrn.PROOF." localSheetId="8" hidden="1">{"PROOF",#N/A,FALSE,"FINAL"}</definedName>
    <definedName name="wrn.PROOF." localSheetId="1" hidden="1">{"PROOF",#N/A,FALSE,"FINAL"}</definedName>
    <definedName name="wrn.PROOF." localSheetId="6" hidden="1">{"PROOF",#N/A,FALSE,"FINAL"}</definedName>
    <definedName name="wrn.PROOF." localSheetId="9" hidden="1">{"PROOF",#N/A,FALSE,"FINAL"}</definedName>
    <definedName name="wrn.PROOF." hidden="1">{"PROOF",#N/A,FALSE,"FINAL"}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5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7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8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1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4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6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9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localSheetId="2" hidden="1">{#N/A,#N/A,FALSE,"RESEARCH"}</definedName>
    <definedName name="wrn.Research._.Op._.Exp." localSheetId="8" hidden="1">{#N/A,#N/A,FALSE,"RESEARCH"}</definedName>
    <definedName name="wrn.Research._.Op._.Exp." localSheetId="9" hidden="1">{#N/A,#N/A,FALSE,"RESEARCH"}</definedName>
    <definedName name="wrn.Research._.Op._.Exp." hidden="1">{#N/A,#N/A,FALSE,"RESEARCH"}</definedName>
    <definedName name="wrn.Research._.Op._.Exp._1" localSheetId="2" hidden="1">{#N/A,#N/A,FALSE,"RESEARCH"}</definedName>
    <definedName name="wrn.Research._.Op._.Exp._1" localSheetId="8" hidden="1">{#N/A,#N/A,FALSE,"RESEARCH"}</definedName>
    <definedName name="wrn.Research._.Op._.Exp._1" localSheetId="9" hidden="1">{#N/A,#N/A,FALSE,"RESEARCH"}</definedName>
    <definedName name="wrn.Research._.Op._.Exp._1" hidden="1">{#N/A,#N/A,FALSE,"RESEARCH"}</definedName>
    <definedName name="wrn.Return._.on._.Capital." localSheetId="2" hidden="1">{"Summary Schedule",#N/A,FALSE,"Sheet1";"Divisional Support",#N/A,FALSE,"Sheet2";"Corporate Support",#N/A,FALSE,"Sheet3"}</definedName>
    <definedName name="wrn.Return._.on._.Capital." localSheetId="8" hidden="1">{"Summary Schedule",#N/A,FALSE,"Sheet1";"Divisional Support",#N/A,FALSE,"Sheet2";"Corporate Support",#N/A,FALSE,"Sheet3"}</definedName>
    <definedName name="wrn.Return._.on._.Capital." localSheetId="9" hidden="1">{"Summary Schedule",#N/A,FALSE,"Sheet1";"Divisional Support",#N/A,FALSE,"Sheet2";"Corporate Support",#N/A,FALSE,"Sheet3"}</definedName>
    <definedName name="wrn.Return._.on._.Capital." hidden="1">{"Summary Schedule",#N/A,FALSE,"Sheet1";"Divisional Support",#N/A,FALSE,"Sheet2";"Corporate Support",#N/A,FALSE,"Sheet3"}</definedName>
    <definedName name="wrn.Return._.on._.Capital._1" localSheetId="2" hidden="1">{"Summary Schedule",#N/A,FALSE,"Sheet1";"Divisional Support",#N/A,FALSE,"Sheet2";"Corporate Support",#N/A,FALSE,"Sheet3"}</definedName>
    <definedName name="wrn.Return._.on._.Capital._1" localSheetId="8" hidden="1">{"Summary Schedule",#N/A,FALSE,"Sheet1";"Divisional Support",#N/A,FALSE,"Sheet2";"Corporate Support",#N/A,FALSE,"Sheet3"}</definedName>
    <definedName name="wrn.Return._.on._.Capital._1" localSheetId="9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localSheetId="2" hidden="1">{#N/A,#N/A,FALSE,"1";#N/A,#N/A,FALSE,"2";#N/A,#N/A,FALSE,"3"}</definedName>
    <definedName name="wrn.Rpt._.to._.BOD." localSheetId="5" hidden="1">{#N/A,#N/A,FALSE,"1";#N/A,#N/A,FALSE,"2";#N/A,#N/A,FALSE,"3"}</definedName>
    <definedName name="wrn.Rpt._.to._.BOD." localSheetId="7" hidden="1">{#N/A,#N/A,FALSE,"1";#N/A,#N/A,FALSE,"2";#N/A,#N/A,FALSE,"3"}</definedName>
    <definedName name="wrn.Rpt._.to._.BOD." localSheetId="8" hidden="1">{#N/A,#N/A,FALSE,"1";#N/A,#N/A,FALSE,"2";#N/A,#N/A,FALSE,"3"}</definedName>
    <definedName name="wrn.Rpt._.to._.BOD." localSheetId="1" hidden="1">{#N/A,#N/A,FALSE,"1";#N/A,#N/A,FALSE,"2";#N/A,#N/A,FALSE,"3"}</definedName>
    <definedName name="wrn.Rpt._.to._.BOD." localSheetId="4" hidden="1">{#N/A,#N/A,FALSE,"1";#N/A,#N/A,FALSE,"2";#N/A,#N/A,FALSE,"3"}</definedName>
    <definedName name="wrn.Rpt._.to._.BOD." localSheetId="6" hidden="1">{#N/A,#N/A,FALSE,"1";#N/A,#N/A,FALSE,"2";#N/A,#N/A,FALSE,"3"}</definedName>
    <definedName name="wrn.Rpt._.to._.BOD." localSheetId="9" hidden="1">{#N/A,#N/A,FALSE,"1";#N/A,#N/A,FALSE,"2";#N/A,#N/A,FALSE,"3"}</definedName>
    <definedName name="wrn.Rpt._.to._.BOD." hidden="1">{#N/A,#N/A,FALSE,"1";#N/A,#N/A,FALSE,"2";#N/A,#N/A,FALSE,"3"}</definedName>
    <definedName name="wrn.Scherer._.Apr95_Sep95." localSheetId="2" hidden="1">{"Schr Apr95_Oct95",#N/A,FALSE,"Scherer Apr95-Sep95"}</definedName>
    <definedName name="wrn.Scherer._.Apr95_Sep95." localSheetId="5" hidden="1">{"Schr Apr95_Oct95",#N/A,FALSE,"Scherer Apr95-Sep95"}</definedName>
    <definedName name="wrn.Scherer._.Apr95_Sep95." localSheetId="7" hidden="1">{"Schr Apr95_Oct95",#N/A,FALSE,"Scherer Apr95-Sep95"}</definedName>
    <definedName name="wrn.Scherer._.Apr95_Sep95." localSheetId="8" hidden="1">{"Schr Apr95_Oct95",#N/A,FALSE,"Scherer Apr95-Sep95"}</definedName>
    <definedName name="wrn.Scherer._.Apr95_Sep95." localSheetId="1" hidden="1">{"Schr Apr95_Oct95",#N/A,FALSE,"Scherer Apr95-Sep95"}</definedName>
    <definedName name="wrn.Scherer._.Apr95_Sep95." localSheetId="4" hidden="1">{"Schr Apr95_Oct95",#N/A,FALSE,"Scherer Apr95-Sep95"}</definedName>
    <definedName name="wrn.Scherer._.Apr95_Sep95." localSheetId="6" hidden="1">{"Schr Apr95_Oct95",#N/A,FALSE,"Scherer Apr95-Sep95"}</definedName>
    <definedName name="wrn.Scherer._.Apr95_Sep95." localSheetId="9" hidden="1">{"Schr Apr95_Oct95",#N/A,FALSE,"Scherer Apr95-Sep95"}</definedName>
    <definedName name="wrn.Scherer._.Apr95_Sep95." hidden="1">{"Schr Apr95_Oct95",#N/A,FALSE,"Scherer Apr95-Sep95"}</definedName>
    <definedName name="wrn.Scherer._.Oct94_Mar95." localSheetId="2" hidden="1">{"Schr Oct94_Mar95",#N/A,FALSE,"Scherer Oct94-Mar95"}</definedName>
    <definedName name="wrn.Scherer._.Oct94_Mar95." localSheetId="5" hidden="1">{"Schr Oct94_Mar95",#N/A,FALSE,"Scherer Oct94-Mar95"}</definedName>
    <definedName name="wrn.Scherer._.Oct94_Mar95." localSheetId="7" hidden="1">{"Schr Oct94_Mar95",#N/A,FALSE,"Scherer Oct94-Mar95"}</definedName>
    <definedName name="wrn.Scherer._.Oct94_Mar95." localSheetId="8" hidden="1">{"Schr Oct94_Mar95",#N/A,FALSE,"Scherer Oct94-Mar95"}</definedName>
    <definedName name="wrn.Scherer._.Oct94_Mar95." localSheetId="1" hidden="1">{"Schr Oct94_Mar95",#N/A,FALSE,"Scherer Oct94-Mar95"}</definedName>
    <definedName name="wrn.Scherer._.Oct94_Mar95." localSheetId="4" hidden="1">{"Schr Oct94_Mar95",#N/A,FALSE,"Scherer Oct94-Mar95"}</definedName>
    <definedName name="wrn.Scherer._.Oct94_Mar95." localSheetId="6" hidden="1">{"Schr Oct94_Mar95",#N/A,FALSE,"Scherer Oct94-Mar95"}</definedName>
    <definedName name="wrn.Scherer._.Oct94_Mar95." localSheetId="9" hidden="1">{"Schr Oct94_Mar95",#N/A,FALSE,"Scherer Oct94-Mar95"}</definedName>
    <definedName name="wrn.Scherer._.Oct94_Mar95." hidden="1">{"Schr Oct94_Mar95",#N/A,FALSE,"Scherer Oct94-Mar95"}</definedName>
    <definedName name="wrn.Scherer._.Oct95_Mar96." localSheetId="2" hidden="1">{"Schr Oct95_Mar96",#N/A,FALSE,"Scherer Oct95-Mar96"}</definedName>
    <definedName name="wrn.Scherer._.Oct95_Mar96." localSheetId="5" hidden="1">{"Schr Oct95_Mar96",#N/A,FALSE,"Scherer Oct95-Mar96"}</definedName>
    <definedName name="wrn.Scherer._.Oct95_Mar96." localSheetId="7" hidden="1">{"Schr Oct95_Mar96",#N/A,FALSE,"Scherer Oct95-Mar96"}</definedName>
    <definedName name="wrn.Scherer._.Oct95_Mar96." localSheetId="8" hidden="1">{"Schr Oct95_Mar96",#N/A,FALSE,"Scherer Oct95-Mar96"}</definedName>
    <definedName name="wrn.Scherer._.Oct95_Mar96." localSheetId="1" hidden="1">{"Schr Oct95_Mar96",#N/A,FALSE,"Scherer Oct95-Mar96"}</definedName>
    <definedName name="wrn.Scherer._.Oct95_Mar96." localSheetId="4" hidden="1">{"Schr Oct95_Mar96",#N/A,FALSE,"Scherer Oct95-Mar96"}</definedName>
    <definedName name="wrn.Scherer._.Oct95_Mar96." localSheetId="6" hidden="1">{"Schr Oct95_Mar96",#N/A,FALSE,"Scherer Oct95-Mar96"}</definedName>
    <definedName name="wrn.Scherer._.Oct95_Mar96." localSheetId="9" hidden="1">{"Schr Oct95_Mar96",#N/A,FALSE,"Scherer Oct95-Mar96"}</definedName>
    <definedName name="wrn.Scherer._.Oct95_Mar96." hidden="1">{"Schr Oct95_Mar96",#N/A,FALSE,"Scherer Oct95-Mar96"}</definedName>
    <definedName name="wrn.STAND_ALONE_BOTH." localSheetId="2" hidden="1">{"FCB_ALL",#N/A,FALSE,"FCB";"GREY_ALL",#N/A,FALSE,"GREY"}</definedName>
    <definedName name="wrn.STAND_ALONE_BOTH." localSheetId="8" hidden="1">{"FCB_ALL",#N/A,FALSE,"FCB";"GREY_ALL",#N/A,FALSE,"GREY"}</definedName>
    <definedName name="wrn.STAND_ALONE_BOTH." localSheetId="9" hidden="1">{"FCB_ALL",#N/A,FALSE,"FCB";"GREY_ALL",#N/A,FALSE,"GREY"}</definedName>
    <definedName name="wrn.STAND_ALONE_BOTH." hidden="1">{"FCB_ALL",#N/A,FALSE,"FCB";"GREY_ALL",#N/A,FALSE,"GREY"}</definedName>
    <definedName name="wrn.STAND_ALONE_BOTH._1" localSheetId="2" hidden="1">{"FCB_ALL",#N/A,FALSE,"FCB";"GREY_ALL",#N/A,FALSE,"GREY"}</definedName>
    <definedName name="wrn.STAND_ALONE_BOTH._1" localSheetId="8" hidden="1">{"FCB_ALL",#N/A,FALSE,"FCB";"GREY_ALL",#N/A,FALSE,"GREY"}</definedName>
    <definedName name="wrn.STAND_ALONE_BOTH._1" localSheetId="9" hidden="1">{"FCB_ALL",#N/A,FALSE,"FCB";"GREY_ALL",#N/A,FALSE,"GREY"}</definedName>
    <definedName name="wrn.STAND_ALONE_BOTH._1" hidden="1">{"FCB_ALL",#N/A,FALSE,"FCB";"GREY_ALL",#N/A,FALSE,"GREY"}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localSheetId="5" hidden="1">{"Consolidated",#N/A,FALSE,"SITRP";"FPL Pure",#N/A,FALSE,"SITRP";"FPL Subsidiaries Consol",#N/A,FALSE,"SITRP"}</definedName>
    <definedName name="wrn.Statement._.of._.Income._.Taxes." localSheetId="7" hidden="1">{"Consolidated",#N/A,FALSE,"SITRP";"FPL Pure",#N/A,FALSE,"SITRP";"FPL Subsidiaries Consol",#N/A,FALSE,"SITRP"}</definedName>
    <definedName name="wrn.Statement._.of._.Income._.Taxes." localSheetId="8" hidden="1">{"Consolidated",#N/A,FALSE,"SITRP";"FPL Pure",#N/A,FALSE,"SITRP";"FPL Subsidiaries Consol",#N/A,FALSE,"SITRP"}</definedName>
    <definedName name="wrn.Statement._.of._.Income._.Taxes." localSheetId="1" hidden="1">{"Consolidated",#N/A,FALSE,"SITRP";"FPL Pure",#N/A,FALSE,"SITRP";"FPL Subsidiaries Consol",#N/A,FALSE,"SITRP"}</definedName>
    <definedName name="wrn.Statement._.of._.Income._.Taxes." localSheetId="4" hidden="1">{"Consolidated",#N/A,FALSE,"SITRP";"FPL Pure",#N/A,FALSE,"SITRP";"FPL Subsidiaries Consol",#N/A,FALSE,"SITRP"}</definedName>
    <definedName name="wrn.Statement._.of._.Income._.Taxes." localSheetId="6" hidden="1">{"Consolidated",#N/A,FALSE,"SITRP";"FPL Pure",#N/A,FALSE,"SITRP";"FPL Subsidiaries Consol",#N/A,FALSE,"SITRP"}</definedName>
    <definedName name="wrn.Statement._.of._.Income._.Taxes." localSheetId="9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5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7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8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6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9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8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9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localSheetId="2" hidden="1">{"Part1",#N/A,FALSE,"BC_RECOM";"Part2",#N/A,FALSE,"BC_RECOM"}</definedName>
    <definedName name="wrn.Summary._.of._.Approved._.Projects." localSheetId="8" hidden="1">{"Part1",#N/A,FALSE,"BC_RECOM";"Part2",#N/A,FALSE,"BC_RECOM"}</definedName>
    <definedName name="wrn.Summary._.of._.Approved._.Projects." localSheetId="9" hidden="1">{"Part1",#N/A,FALSE,"BC_RECOM";"Part2",#N/A,FALSE,"BC_RECOM"}</definedName>
    <definedName name="wrn.Summary._.of._.Approved._.Projects." hidden="1">{"Part1",#N/A,FALSE,"BC_RECOM";"Part2",#N/A,FALSE,"BC_RECOM"}</definedName>
    <definedName name="wrn.Trans._.Op._.Exp." localSheetId="2" hidden="1">{#N/A,#N/A,FALSE,"TRANS"}</definedName>
    <definedName name="wrn.Trans._.Op._.Exp." localSheetId="8" hidden="1">{#N/A,#N/A,FALSE,"TRANS"}</definedName>
    <definedName name="wrn.Trans._.Op._.Exp." localSheetId="9" hidden="1">{#N/A,#N/A,FALSE,"TRANS"}</definedName>
    <definedName name="wrn.Trans._.Op._.Exp." hidden="1">{#N/A,#N/A,FALSE,"TRANS"}</definedName>
    <definedName name="wrn.Trans._.Op._.Exp._1" localSheetId="2" hidden="1">{#N/A,#N/A,FALSE,"TRANS"}</definedName>
    <definedName name="wrn.Trans._.Op._.Exp._1" localSheetId="8" hidden="1">{#N/A,#N/A,FALSE,"TRANS"}</definedName>
    <definedName name="wrn.Trans._.Op._.Exp._1" localSheetId="9" hidden="1">{#N/A,#N/A,FALSE,"TRANS"}</definedName>
    <definedName name="wrn.Trans._.Op._.Exp._1" hidden="1">{#N/A,#N/A,FALSE,"TRANS"}</definedName>
    <definedName name="wrn.UTIL." localSheetId="2" hidden="1">{"Twelve Mo Ended Pg 2",#N/A,TRUE,"Utility";"YTD Adj _ Pg 1",#N/A,TRUE,"Utility"}</definedName>
    <definedName name="wrn.UTIL." localSheetId="5" hidden="1">{"Twelve Mo Ended Pg 2",#N/A,TRUE,"Utility";"YTD Adj _ Pg 1",#N/A,TRUE,"Utility"}</definedName>
    <definedName name="wrn.UTIL." localSheetId="7" hidden="1">{"Twelve Mo Ended Pg 2",#N/A,TRUE,"Utility";"YTD Adj _ Pg 1",#N/A,TRUE,"Utility"}</definedName>
    <definedName name="wrn.UTIL." localSheetId="8" hidden="1">{"Twelve Mo Ended Pg 2",#N/A,TRUE,"Utility";"YTD Adj _ Pg 1",#N/A,TRUE,"Utility"}</definedName>
    <definedName name="wrn.UTIL." localSheetId="1" hidden="1">{"Twelve Mo Ended Pg 2",#N/A,TRUE,"Utility";"YTD Adj _ Pg 1",#N/A,TRUE,"Utility"}</definedName>
    <definedName name="wrn.UTIL." localSheetId="4" hidden="1">{"Twelve Mo Ended Pg 2",#N/A,TRUE,"Utility";"YTD Adj _ Pg 1",#N/A,TRUE,"Utility"}</definedName>
    <definedName name="wrn.UTIL." localSheetId="6" hidden="1">{"Twelve Mo Ended Pg 2",#N/A,TRUE,"Utility";"YTD Adj _ Pg 1",#N/A,TRUE,"Utility"}</definedName>
    <definedName name="wrn.UTIL." localSheetId="9" hidden="1">{"Twelve Mo Ended Pg 2",#N/A,TRUE,"Utility";"YTD Adj _ Pg 1",#N/A,TRUE,"Utility"}</definedName>
    <definedName name="wrn.UTIL." hidden="1">{"Twelve Mo Ended Pg 2",#N/A,TRUE,"Utility";"YTD Adj _ Pg 1",#N/A,TRUE,"Utility"}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9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9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9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9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2" hidden="1">{#N/A,#N/A,FALSE,"INPUTDATA";#N/A,#N/A,FALSE,"SUMMARY"}</definedName>
    <definedName name="x" localSheetId="5" hidden="1">{#N/A,#N/A,FALSE,"INPUTDATA";#N/A,#N/A,FALSE,"SUMMARY"}</definedName>
    <definedName name="x" localSheetId="7" hidden="1">{#N/A,#N/A,FALSE,"INPUTDATA";#N/A,#N/A,FALSE,"SUMMARY"}</definedName>
    <definedName name="x" localSheetId="8" hidden="1">{#N/A,#N/A,FALSE,"INPUTDATA";#N/A,#N/A,FALSE,"SUMMARY"}</definedName>
    <definedName name="x" localSheetId="1" hidden="1">{#N/A,#N/A,FALSE,"INPUTDATA";#N/A,#N/A,FALSE,"SUMMARY"}</definedName>
    <definedName name="x" localSheetId="4" hidden="1">{#N/A,#N/A,FALSE,"INPUTDATA";#N/A,#N/A,FALSE,"SUMMARY"}</definedName>
    <definedName name="x" localSheetId="6" hidden="1">{#N/A,#N/A,FALSE,"INPUTDATA";#N/A,#N/A,FALSE,"SUMMARY"}</definedName>
    <definedName name="x" localSheetId="9" hidden="1">{#N/A,#N/A,FALSE,"INPUTDATA";#N/A,#N/A,FALSE,"SUMMARY"}</definedName>
    <definedName name="x" hidden="1">{#N/A,#N/A,FALSE,"INPUTDATA";#N/A,#N/A,FALSE,"SUMMARY"}</definedName>
    <definedName name="xpg" localSheetId="2" hidden="1">{"detail305",#N/A,FALSE,"BI-305"}</definedName>
    <definedName name="xpg" localSheetId="5" hidden="1">{"detail305",#N/A,FALSE,"BI-305"}</definedName>
    <definedName name="xpg" localSheetId="7" hidden="1">{"detail305",#N/A,FALSE,"BI-305"}</definedName>
    <definedName name="xpg" localSheetId="8" hidden="1">{"detail305",#N/A,FALSE,"BI-305"}</definedName>
    <definedName name="xpg" localSheetId="1" hidden="1">{"detail305",#N/A,FALSE,"BI-305"}</definedName>
    <definedName name="xpg" localSheetId="4" hidden="1">{"detail305",#N/A,FALSE,"BI-305"}</definedName>
    <definedName name="xpg" localSheetId="6" hidden="1">{"detail305",#N/A,FALSE,"BI-305"}</definedName>
    <definedName name="xpg" localSheetId="9" hidden="1">{"detail305",#N/A,FALSE,"BI-305"}</definedName>
    <definedName name="xpg" hidden="1">{"detail305",#N/A,FALSE,"BI-305"}</definedName>
    <definedName name="xx" localSheetId="2" hidden="1">{2;#N/A;"R13C16:R17C16";#N/A;"R13C14:R17C15";FALSE;FALSE;FALSE;95;#N/A;#N/A;"R13C19";#N/A;FALSE;FALSE;FALSE;FALSE;#N/A;"";#N/A;FALSE;"";"";#N/A;#N/A;#N/A}</definedName>
    <definedName name="xx" localSheetId="5" hidden="1">{2;#N/A;"R13C16:R17C16";#N/A;"R13C14:R17C15";FALSE;FALSE;FALSE;95;#N/A;#N/A;"R13C19";#N/A;FALSE;FALSE;FALSE;FALSE;#N/A;"";#N/A;FALSE;"";"";#N/A;#N/A;#N/A}</definedName>
    <definedName name="xx" localSheetId="7" hidden="1">{2;#N/A;"R13C16:R17C16";#N/A;"R13C14:R17C15";FALSE;FALSE;FALSE;95;#N/A;#N/A;"R13C19";#N/A;FALSE;FALSE;FALSE;FALSE;#N/A;"";#N/A;FALSE;"";"";#N/A;#N/A;#N/A}</definedName>
    <definedName name="xx" localSheetId="8" hidden="1">{2;#N/A;"R13C16:R17C16";#N/A;"R13C14:R17C15";FALSE;FALSE;FALSE;95;#N/A;#N/A;"R13C19";#N/A;FALSE;FALSE;FALSE;FALSE;#N/A;"";#N/A;FALSE;"";"";#N/A;#N/A;#N/A}</definedName>
    <definedName name="xx" localSheetId="1" hidden="1">{2;#N/A;"R13C16:R17C16";#N/A;"R13C14:R17C15";FALSE;FALSE;FALSE;95;#N/A;#N/A;"R13C19";#N/A;FALSE;FALSE;FALSE;FALSE;#N/A;"";#N/A;FALSE;"";"";#N/A;#N/A;#N/A}</definedName>
    <definedName name="xx" localSheetId="4" hidden="1">{2;#N/A;"R13C16:R17C16";#N/A;"R13C14:R17C15";FALSE;FALSE;FALSE;95;#N/A;#N/A;"R13C19";#N/A;FALSE;FALSE;FALSE;FALSE;#N/A;"";#N/A;FALSE;"";"";#N/A;#N/A;#N/A}</definedName>
    <definedName name="xx" localSheetId="6" hidden="1">{2;#N/A;"R13C16:R17C16";#N/A;"R13C14:R17C15";FALSE;FALSE;FALSE;95;#N/A;#N/A;"R13C19";#N/A;FALSE;FALSE;FALSE;FALSE;#N/A;"";#N/A;FALSE;"";"";#N/A;#N/A;#N/A}</definedName>
    <definedName name="xx" localSheetId="9" hidden="1">{2;#N/A;"R13C16:R17C16";#N/A;"R13C14:R17C15";FALSE;FALSE;FALSE;95;#N/A;#N/A;"R13C19";#N/A;FALSE;FALSE;FALSE;FALSE;#N/A;"";#N/A;FALSE;"";"";#N/A;#N/A;#N/A}</definedName>
    <definedName name="xx" hidden="1">{2;#N/A;"R13C16:R17C16";#N/A;"R13C14:R17C15";FALSE;FALSE;FALSE;95;#N/A;#N/A;"R13C19";#N/A;FALSE;FALSE;FALSE;FALSE;#N/A;"";#N/A;FALSE;"";"";#N/A;#N/A;#N/A}</definedName>
    <definedName name="xxx.detail" localSheetId="2" hidden="1">{"detail305",#N/A,FALSE,"BI-305"}</definedName>
    <definedName name="xxx.detail" localSheetId="5" hidden="1">{"detail305",#N/A,FALSE,"BI-305"}</definedName>
    <definedName name="xxx.detail" localSheetId="7" hidden="1">{"detail305",#N/A,FALSE,"BI-305"}</definedName>
    <definedName name="xxx.detail" localSheetId="8" hidden="1">{"detail305",#N/A,FALSE,"BI-305"}</definedName>
    <definedName name="xxx.detail" localSheetId="1" hidden="1">{"detail305",#N/A,FALSE,"BI-305"}</definedName>
    <definedName name="xxx.detail" localSheetId="4" hidden="1">{"detail305",#N/A,FALSE,"BI-305"}</definedName>
    <definedName name="xxx.detail" localSheetId="6" hidden="1">{"detail305",#N/A,FALSE,"BI-305"}</definedName>
    <definedName name="xxx.detail" localSheetId="9" hidden="1">{"detail305",#N/A,FALSE,"BI-305"}</definedName>
    <definedName name="xxx.detail" hidden="1">{"detail305",#N/A,FALSE,"BI-305"}</definedName>
    <definedName name="xxx.detail_1" localSheetId="2" hidden="1">{"detail305",#N/A,FALSE,"BI-305"}</definedName>
    <definedName name="xxx.detail_1" localSheetId="8" hidden="1">{"detail305",#N/A,FALSE,"BI-305"}</definedName>
    <definedName name="xxx.detail_1" localSheetId="9" hidden="1">{"detail305",#N/A,FALSE,"BI-305"}</definedName>
    <definedName name="xxx.detail_1" hidden="1">{"detail305",#N/A,FALSE,"BI-305"}</definedName>
    <definedName name="xxx.directory" localSheetId="2" hidden="1">{"summary",#N/A,FALSE,"PCR DIRECTORY"}</definedName>
    <definedName name="xxx.directory" localSheetId="5" hidden="1">{"summary",#N/A,FALSE,"PCR DIRECTORY"}</definedName>
    <definedName name="xxx.directory" localSheetId="7" hidden="1">{"summary",#N/A,FALSE,"PCR DIRECTORY"}</definedName>
    <definedName name="xxx.directory" localSheetId="8" hidden="1">{"summary",#N/A,FALSE,"PCR DIRECTORY"}</definedName>
    <definedName name="xxx.directory" localSheetId="1" hidden="1">{"summary",#N/A,FALSE,"PCR DIRECTORY"}</definedName>
    <definedName name="xxx.directory" localSheetId="4" hidden="1">{"summary",#N/A,FALSE,"PCR DIRECTORY"}</definedName>
    <definedName name="xxx.directory" localSheetId="6" hidden="1">{"summary",#N/A,FALSE,"PCR DIRECTORY"}</definedName>
    <definedName name="xxx.directory" localSheetId="9" hidden="1">{"summary",#N/A,FALSE,"PCR DIRECTORY"}</definedName>
    <definedName name="xxx.directory" hidden="1">{"summary",#N/A,FALSE,"PCR DIRECTORY"}</definedName>
    <definedName name="xxx.directory_1" localSheetId="2" hidden="1">{"summary",#N/A,FALSE,"PCR DIRECTORY"}</definedName>
    <definedName name="xxx.directory_1" localSheetId="8" hidden="1">{"summary",#N/A,FALSE,"PCR DIRECTORY"}</definedName>
    <definedName name="xxx.directory_1" localSheetId="9" hidden="1">{"summary",#N/A,FALSE,"PCR DIRECTORY"}</definedName>
    <definedName name="xxx.directory_1" hidden="1">{"summary",#N/A,FALSE,"PCR DIRECTORY"}</definedName>
    <definedName name="xxxxx" localSheetId="2" hidden="1">{2;#N/A;"R13C16:R17C16";#N/A;"R13C14:R17C15";FALSE;FALSE;FALSE;95;#N/A;#N/A;"R13C19";#N/A;FALSE;FALSE;FALSE;FALSE;#N/A;"";#N/A;FALSE;"";"";#N/A;#N/A;#N/A}</definedName>
    <definedName name="xxxxx" localSheetId="5" hidden="1">{2;#N/A;"R13C16:R17C16";#N/A;"R13C14:R17C15";FALSE;FALSE;FALSE;95;#N/A;#N/A;"R13C19";#N/A;FALSE;FALSE;FALSE;FALSE;#N/A;"";#N/A;FALSE;"";"";#N/A;#N/A;#N/A}</definedName>
    <definedName name="xxxxx" localSheetId="7" hidden="1">{2;#N/A;"R13C16:R17C16";#N/A;"R13C14:R17C15";FALSE;FALSE;FALSE;95;#N/A;#N/A;"R13C19";#N/A;FALSE;FALSE;FALSE;FALSE;#N/A;"";#N/A;FALSE;"";"";#N/A;#N/A;#N/A}</definedName>
    <definedName name="xxxxx" localSheetId="8" hidden="1">{2;#N/A;"R13C16:R17C16";#N/A;"R13C14:R17C15";FALSE;FALSE;FALSE;95;#N/A;#N/A;"R13C19";#N/A;FALSE;FALSE;FALSE;FALSE;#N/A;"";#N/A;FALSE;"";"";#N/A;#N/A;#N/A}</definedName>
    <definedName name="xxxxx" localSheetId="1" hidden="1">{2;#N/A;"R13C16:R17C16";#N/A;"R13C14:R17C15";FALSE;FALSE;FALSE;95;#N/A;#N/A;"R13C19";#N/A;FALSE;FALSE;FALSE;FALSE;#N/A;"";#N/A;FALSE;"";"";#N/A;#N/A;#N/A}</definedName>
    <definedName name="xxxxx" localSheetId="4" hidden="1">{2;#N/A;"R13C16:R17C16";#N/A;"R13C14:R17C15";FALSE;FALSE;FALSE;95;#N/A;#N/A;"R13C19";#N/A;FALSE;FALSE;FALSE;FALSE;#N/A;"";#N/A;FALSE;"";"";#N/A;#N/A;#N/A}</definedName>
    <definedName name="xxxxx" localSheetId="6" hidden="1">{2;#N/A;"R13C16:R17C16";#N/A;"R13C14:R17C15";FALSE;FALSE;FALSE;95;#N/A;#N/A;"R13C19";#N/A;FALSE;FALSE;FALSE;FALSE;#N/A;"";#N/A;FALSE;"";"";#N/A;#N/A;#N/A}</definedName>
    <definedName name="xxxxx" localSheetId="9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  <definedName name="xxxxxx" localSheetId="2" hidden="1">{#N/A,#N/A,TRUE,"TOTAL DSBN";#N/A,#N/A,TRUE,"WEST";#N/A,#N/A,TRUE,"SOUTH";#N/A,#N/A,TRUE,"NORTHEAST"}</definedName>
    <definedName name="xxxxxx" localSheetId="8" hidden="1">{#N/A,#N/A,TRUE,"TOTAL DSBN";#N/A,#N/A,TRUE,"WEST";#N/A,#N/A,TRUE,"SOUTH";#N/A,#N/A,TRUE,"NORTHEAST"}</definedName>
    <definedName name="xxxxxx" localSheetId="9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Year">#REF!</definedName>
    <definedName name="Year2">#REF!</definedName>
    <definedName name="YesNo" localSheetId="9">#REF!</definedName>
    <definedName name="YesNo">#REF!</definedName>
    <definedName name="YTDA" localSheetId="9">#REF!</definedName>
    <definedName name="YTDA">#REF!</definedName>
    <definedName name="zzz" localSheetId="2" hidden="1">{"detail305",#N/A,FALSE,"BI-305"}</definedName>
    <definedName name="zzz" localSheetId="8" hidden="1">{"detail305",#N/A,FALSE,"BI-305"}</definedName>
    <definedName name="zzz" localSheetId="9" hidden="1">{"detail305",#N/A,FALSE,"BI-305"}</definedName>
    <definedName name="zzz" hidden="1">{"detail305",#N/A,FALSE,"BI-305"}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03" i="2" l="1"/>
  <c r="AT203" i="2" s="1"/>
  <c r="AS202" i="2"/>
  <c r="AR202" i="2"/>
  <c r="AR201" i="2"/>
  <c r="AS201" i="2" s="1"/>
  <c r="AT201" i="2" s="1"/>
  <c r="AQ201" i="2"/>
  <c r="AQ200" i="2"/>
  <c r="AR200" i="2" s="1"/>
  <c r="AP200" i="2"/>
  <c r="AP199" i="2"/>
  <c r="AQ199" i="2" s="1"/>
  <c r="AR199" i="2" s="1"/>
  <c r="AS199" i="2" s="1"/>
  <c r="AO199" i="2"/>
  <c r="AT199" i="2" s="1"/>
  <c r="AO198" i="2"/>
  <c r="AP198" i="2" s="1"/>
  <c r="AQ198" i="2" s="1"/>
  <c r="AR198" i="2" s="1"/>
  <c r="AS198" i="2" s="1"/>
  <c r="AT198" i="2" s="1"/>
  <c r="AN198" i="2"/>
  <c r="AO197" i="2"/>
  <c r="AP197" i="2" s="1"/>
  <c r="AN197" i="2"/>
  <c r="AN105" i="2" s="1"/>
  <c r="AM197" i="2"/>
  <c r="AM105" i="2" s="1"/>
  <c r="AS196" i="2"/>
  <c r="AS195" i="2"/>
  <c r="AR195" i="2"/>
  <c r="AT195" i="2" s="1"/>
  <c r="AR194" i="2"/>
  <c r="AS194" i="2" s="1"/>
  <c r="AQ194" i="2"/>
  <c r="AQ193" i="2"/>
  <c r="AR193" i="2" s="1"/>
  <c r="AS193" i="2" s="1"/>
  <c r="AP193" i="2"/>
  <c r="AP192" i="2"/>
  <c r="AQ192" i="2" s="1"/>
  <c r="AR192" i="2" s="1"/>
  <c r="AS192" i="2" s="1"/>
  <c r="AO192" i="2"/>
  <c r="AO191" i="2"/>
  <c r="AP191" i="2" s="1"/>
  <c r="AQ191" i="2" s="1"/>
  <c r="AR191" i="2" s="1"/>
  <c r="AN191" i="2"/>
  <c r="AT196" i="2"/>
  <c r="AN190" i="2"/>
  <c r="AO190" i="2" s="1"/>
  <c r="AP190" i="2" s="1"/>
  <c r="AQ190" i="2" s="1"/>
  <c r="AR190" i="2" s="1"/>
  <c r="AS190" i="2" s="1"/>
  <c r="AM190" i="2"/>
  <c r="AT190" i="2" s="1"/>
  <c r="AS200" i="2" l="1"/>
  <c r="AT200" i="2"/>
  <c r="AP105" i="2"/>
  <c r="AQ197" i="2"/>
  <c r="AR101" i="2"/>
  <c r="AQ101" i="2"/>
  <c r="AP101" i="2"/>
  <c r="AO105" i="2"/>
  <c r="AO101" i="2"/>
  <c r="AN101" i="2"/>
  <c r="AM101" i="2"/>
  <c r="AT202" i="2"/>
  <c r="AT193" i="2"/>
  <c r="AT194" i="2"/>
  <c r="AT192" i="2"/>
  <c r="AS191" i="2"/>
  <c r="AS101" i="2" s="1"/>
  <c r="AR197" i="2" l="1"/>
  <c r="AQ105" i="2"/>
  <c r="AT191" i="2"/>
  <c r="AT101" i="2" s="1"/>
  <c r="AR105" i="2" l="1"/>
  <c r="AS197" i="2"/>
  <c r="AS105" i="2" s="1"/>
  <c r="AT197" i="2"/>
  <c r="AT105" i="2" s="1"/>
  <c r="D38" i="10"/>
  <c r="C38" i="10"/>
  <c r="B38" i="10"/>
  <c r="I22" i="1"/>
  <c r="I21" i="1"/>
  <c r="I20" i="1"/>
  <c r="I13" i="1"/>
  <c r="G22" i="1"/>
  <c r="H21" i="1"/>
  <c r="G21" i="1"/>
  <c r="H20" i="1"/>
  <c r="G20" i="1"/>
  <c r="H13" i="1"/>
  <c r="G13" i="1"/>
  <c r="F24" i="1"/>
  <c r="F22" i="1"/>
  <c r="F21" i="1"/>
  <c r="F20" i="1"/>
  <c r="F13" i="1"/>
  <c r="F16" i="1"/>
  <c r="F15" i="1"/>
  <c r="AS64" i="8"/>
  <c r="AS63" i="8"/>
  <c r="AS62" i="8"/>
  <c r="F19" i="1" s="1"/>
  <c r="AS60" i="8"/>
  <c r="AS59" i="8"/>
  <c r="AS58" i="8"/>
  <c r="C57" i="8"/>
  <c r="D57" i="8" s="1"/>
  <c r="E57" i="8" s="1"/>
  <c r="F57" i="8" s="1"/>
  <c r="G57" i="8" s="1"/>
  <c r="H57" i="8" s="1"/>
  <c r="I57" i="8" s="1"/>
  <c r="J57" i="8" s="1"/>
  <c r="K57" i="8" s="1"/>
  <c r="AS54" i="8"/>
  <c r="AS53" i="8"/>
  <c r="AS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S49" i="8"/>
  <c r="AS48" i="8"/>
  <c r="AS47" i="8"/>
  <c r="AS46" i="8"/>
  <c r="AS45" i="8"/>
  <c r="AS44" i="8"/>
  <c r="AS43" i="8"/>
  <c r="AS42" i="8"/>
  <c r="AR41" i="8"/>
  <c r="AR16" i="8" s="1"/>
  <c r="AQ41" i="8"/>
  <c r="AQ16" i="8" s="1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T16" i="8" s="1"/>
  <c r="AT16" i="8" s="1"/>
  <c r="S41" i="8"/>
  <c r="R41" i="8"/>
  <c r="Q41" i="8"/>
  <c r="P41" i="8"/>
  <c r="O41" i="8"/>
  <c r="N41" i="8"/>
  <c r="M41" i="8"/>
  <c r="L41" i="8"/>
  <c r="AT39" i="8"/>
  <c r="AS39" i="8"/>
  <c r="AT38" i="8"/>
  <c r="AS38" i="8"/>
  <c r="AT37" i="8"/>
  <c r="AS37" i="8"/>
  <c r="AT36" i="8"/>
  <c r="AS36" i="8"/>
  <c r="AU35" i="8"/>
  <c r="AT35" i="8"/>
  <c r="AS35" i="8"/>
  <c r="AT34" i="8"/>
  <c r="AS34" i="8"/>
  <c r="AT33" i="8"/>
  <c r="AS33" i="8"/>
  <c r="AU32" i="8"/>
  <c r="AT32" i="8"/>
  <c r="AS32" i="8"/>
  <c r="AT31" i="8"/>
  <c r="AS31" i="8"/>
  <c r="AT30" i="8"/>
  <c r="AS30" i="8"/>
  <c r="AT29" i="8"/>
  <c r="AS29" i="8"/>
  <c r="AT28" i="8"/>
  <c r="AS28" i="8"/>
  <c r="AT27" i="8"/>
  <c r="AS27" i="8"/>
  <c r="AT26" i="8"/>
  <c r="AS26" i="8"/>
  <c r="AT25" i="8"/>
  <c r="AS25" i="8"/>
  <c r="AU24" i="8"/>
  <c r="AT24" i="8"/>
  <c r="AS24" i="8"/>
  <c r="AT23" i="8"/>
  <c r="AS23" i="8"/>
  <c r="AU22" i="8"/>
  <c r="AT22" i="8"/>
  <c r="AS22" i="8"/>
  <c r="AT21" i="8"/>
  <c r="AS21" i="8"/>
  <c r="AU18" i="8"/>
  <c r="AT18" i="8"/>
  <c r="AS18" i="8"/>
  <c r="F25" i="1" s="1"/>
  <c r="AU17" i="8"/>
  <c r="AT17" i="8"/>
  <c r="AS17" i="8"/>
  <c r="AP16" i="8"/>
  <c r="AO16" i="8"/>
  <c r="AN16" i="8"/>
  <c r="AU16" i="8" s="1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U11" i="8"/>
  <c r="AT11" i="8"/>
  <c r="AS11" i="8"/>
  <c r="F17" i="1" s="1"/>
  <c r="AU10" i="8"/>
  <c r="AT10" i="8"/>
  <c r="AS10" i="8"/>
  <c r="AW10" i="8" s="1"/>
  <c r="AU9" i="8"/>
  <c r="AT9" i="8"/>
  <c r="AS9" i="8"/>
  <c r="AW9" i="8" s="1"/>
  <c r="AU8" i="8"/>
  <c r="AT8" i="8"/>
  <c r="AS8" i="8"/>
  <c r="AW8" i="8" s="1"/>
  <c r="AU7" i="8"/>
  <c r="AT7" i="8"/>
  <c r="AS7" i="8"/>
  <c r="AW7" i="8" s="1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BG50" i="7"/>
  <c r="BF50" i="7"/>
  <c r="BE50" i="7"/>
  <c r="BC50" i="7"/>
  <c r="BK49" i="7"/>
  <c r="BJ49" i="7"/>
  <c r="BI49" i="7"/>
  <c r="BF49" i="7"/>
  <c r="BE49" i="7"/>
  <c r="AV48" i="7"/>
  <c r="AK44" i="7"/>
  <c r="AI44" i="7"/>
  <c r="AF44" i="7"/>
  <c r="AE44" i="7"/>
  <c r="AD44" i="7"/>
  <c r="Y44" i="7"/>
  <c r="X44" i="7"/>
  <c r="W44" i="7"/>
  <c r="V44" i="7"/>
  <c r="U44" i="7"/>
  <c r="T44" i="7"/>
  <c r="S44" i="7"/>
  <c r="R44" i="7"/>
  <c r="Q44" i="7"/>
  <c r="I44" i="7"/>
  <c r="I47" i="7" s="1"/>
  <c r="H44" i="7"/>
  <c r="H47" i="7" s="1"/>
  <c r="AU43" i="7"/>
  <c r="AJ43" i="7"/>
  <c r="AS43" i="7" s="1"/>
  <c r="AH44" i="7"/>
  <c r="AU42" i="7"/>
  <c r="AJ42" i="7"/>
  <c r="AS42" i="7"/>
  <c r="AJ41" i="7"/>
  <c r="AS41" i="7" s="1"/>
  <c r="AU40" i="7"/>
  <c r="AJ40" i="7"/>
  <c r="P40" i="7"/>
  <c r="P44" i="7" s="1"/>
  <c r="P47" i="7" s="1"/>
  <c r="BG49" i="7"/>
  <c r="AU39" i="7"/>
  <c r="AJ39" i="7"/>
  <c r="AS39" i="7" s="1"/>
  <c r="AU38" i="7"/>
  <c r="AJ38" i="7"/>
  <c r="AS37" i="7"/>
  <c r="AU36" i="7"/>
  <c r="BD50" i="7"/>
  <c r="AS36" i="7"/>
  <c r="AU35" i="7"/>
  <c r="AJ35" i="7"/>
  <c r="AC44" i="7"/>
  <c r="AB44" i="7"/>
  <c r="AA44" i="7"/>
  <c r="Z44" i="7"/>
  <c r="O44" i="7"/>
  <c r="O47" i="7" s="1"/>
  <c r="N44" i="7"/>
  <c r="N47" i="7" s="1"/>
  <c r="M44" i="7"/>
  <c r="M47" i="7" s="1"/>
  <c r="K44" i="7"/>
  <c r="K47" i="7" s="1"/>
  <c r="J44" i="7"/>
  <c r="J47" i="7" s="1"/>
  <c r="G44" i="7"/>
  <c r="G47" i="7" s="1"/>
  <c r="F44" i="7"/>
  <c r="F47" i="7" s="1"/>
  <c r="E44" i="7"/>
  <c r="AS34" i="7"/>
  <c r="U33" i="7"/>
  <c r="T33" i="7"/>
  <c r="AK30" i="7"/>
  <c r="AJ30" i="7"/>
  <c r="AI30" i="7"/>
  <c r="AF30" i="7"/>
  <c r="AE30" i="7"/>
  <c r="AD30" i="7"/>
  <c r="X30" i="7"/>
  <c r="W30" i="7"/>
  <c r="V30" i="7"/>
  <c r="U30" i="7"/>
  <c r="T30" i="7"/>
  <c r="S30" i="7"/>
  <c r="R30" i="7"/>
  <c r="Q30" i="7"/>
  <c r="N30" i="7"/>
  <c r="M30" i="7"/>
  <c r="F30" i="7"/>
  <c r="E30" i="7"/>
  <c r="AH30" i="7"/>
  <c r="AG30" i="7"/>
  <c r="AS28" i="7"/>
  <c r="AS27" i="7"/>
  <c r="P26" i="7"/>
  <c r="P30" i="7" s="1"/>
  <c r="AC30" i="7"/>
  <c r="AS23" i="7"/>
  <c r="AS22" i="7"/>
  <c r="AB30" i="7"/>
  <c r="AA30" i="7"/>
  <c r="Z30" i="7"/>
  <c r="Y30" i="7"/>
  <c r="O30" i="7"/>
  <c r="L30" i="7"/>
  <c r="K30" i="7"/>
  <c r="J30" i="7"/>
  <c r="I30" i="7"/>
  <c r="H30" i="7"/>
  <c r="G30" i="7"/>
  <c r="D30" i="7"/>
  <c r="C30" i="7"/>
  <c r="B30" i="7"/>
  <c r="AM18" i="7"/>
  <c r="AL18" i="7"/>
  <c r="AK16" i="7"/>
  <c r="AJ16" i="7"/>
  <c r="AI16" i="7"/>
  <c r="AF16" i="7"/>
  <c r="AE16" i="7"/>
  <c r="AD16" i="7"/>
  <c r="AC16" i="7"/>
  <c r="X16" i="7"/>
  <c r="W16" i="7"/>
  <c r="V16" i="7"/>
  <c r="U16" i="7"/>
  <c r="T16" i="7"/>
  <c r="S16" i="7"/>
  <c r="R16" i="7"/>
  <c r="Q16" i="7"/>
  <c r="AH16" i="7"/>
  <c r="AG16" i="7"/>
  <c r="AS14" i="7"/>
  <c r="AS13" i="7"/>
  <c r="P12" i="7"/>
  <c r="P16" i="7" s="1"/>
  <c r="AS11" i="7"/>
  <c r="AS9" i="7"/>
  <c r="AS8" i="7"/>
  <c r="AB16" i="7"/>
  <c r="AA16" i="7"/>
  <c r="Z16" i="7"/>
  <c r="Y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R18" i="7"/>
  <c r="AQ18" i="7"/>
  <c r="AP30" i="7"/>
  <c r="AK18" i="7"/>
  <c r="AJ18" i="7"/>
  <c r="AI18" i="7"/>
  <c r="AH18" i="7"/>
  <c r="AG18" i="7"/>
  <c r="AF18" i="7"/>
  <c r="AK71" i="6"/>
  <c r="AE71" i="6"/>
  <c r="AD71" i="6"/>
  <c r="AJ70" i="6"/>
  <c r="AS70" i="6"/>
  <c r="AS69" i="6"/>
  <c r="AS68" i="6"/>
  <c r="AS67" i="6"/>
  <c r="AS66" i="6"/>
  <c r="AS65" i="6"/>
  <c r="AS64" i="6"/>
  <c r="P63" i="6"/>
  <c r="AS63" i="6"/>
  <c r="AJ62" i="6"/>
  <c r="AJ60" i="6"/>
  <c r="AA59" i="6"/>
  <c r="Y59" i="6"/>
  <c r="AS60" i="6"/>
  <c r="AH59" i="6"/>
  <c r="AG59" i="6"/>
  <c r="AC59" i="6"/>
  <c r="AB59" i="6"/>
  <c r="Z59" i="6"/>
  <c r="X59" i="6"/>
  <c r="W59" i="6"/>
  <c r="V59" i="6"/>
  <c r="U59" i="6"/>
  <c r="T59" i="6"/>
  <c r="S59" i="6"/>
  <c r="R59" i="6"/>
  <c r="Q59" i="6"/>
  <c r="P59" i="6"/>
  <c r="O59" i="6"/>
  <c r="M59" i="6"/>
  <c r="L59" i="6"/>
  <c r="K59" i="6"/>
  <c r="K71" i="6" s="1"/>
  <c r="J59" i="6"/>
  <c r="J71" i="6" s="1"/>
  <c r="I59" i="6"/>
  <c r="H59" i="6"/>
  <c r="G59" i="6"/>
  <c r="G71" i="6" s="1"/>
  <c r="F59" i="6"/>
  <c r="F71" i="6" s="1"/>
  <c r="E59" i="6"/>
  <c r="E71" i="6" s="1"/>
  <c r="D59" i="6"/>
  <c r="D71" i="6" s="1"/>
  <c r="C59" i="6"/>
  <c r="C71" i="6" s="1"/>
  <c r="B59" i="6"/>
  <c r="AJ58" i="6"/>
  <c r="AJ56" i="6"/>
  <c r="Z53" i="6"/>
  <c r="Z71" i="6" s="1"/>
  <c r="AS56" i="6"/>
  <c r="AJ55" i="6"/>
  <c r="AS55" i="6"/>
  <c r="AJ54" i="6"/>
  <c r="AA53" i="6"/>
  <c r="AA71" i="6" s="1"/>
  <c r="AI53" i="6"/>
  <c r="AI71" i="6" s="1"/>
  <c r="AH53" i="6"/>
  <c r="AH71" i="6" s="1"/>
  <c r="AG53" i="6"/>
  <c r="AC53" i="6"/>
  <c r="AC71" i="6" s="1"/>
  <c r="AB53" i="6"/>
  <c r="Y53" i="6"/>
  <c r="X53" i="6"/>
  <c r="X71" i="6" s="1"/>
  <c r="W53" i="6"/>
  <c r="W71" i="6" s="1"/>
  <c r="V53" i="6"/>
  <c r="V71" i="6" s="1"/>
  <c r="U53" i="6"/>
  <c r="U71" i="6" s="1"/>
  <c r="T53" i="6"/>
  <c r="T71" i="6" s="1"/>
  <c r="S53" i="6"/>
  <c r="S71" i="6" s="1"/>
  <c r="R53" i="6"/>
  <c r="R71" i="6" s="1"/>
  <c r="Q53" i="6"/>
  <c r="Q71" i="6" s="1"/>
  <c r="P53" i="6"/>
  <c r="O53" i="6"/>
  <c r="O71" i="6" s="1"/>
  <c r="N53" i="6"/>
  <c r="M53" i="6"/>
  <c r="M71" i="6" s="1"/>
  <c r="L53" i="6"/>
  <c r="L71" i="6" s="1"/>
  <c r="I71" i="6"/>
  <c r="H71" i="6"/>
  <c r="AJ52" i="6"/>
  <c r="AF71" i="6"/>
  <c r="AB71" i="6"/>
  <c r="AK47" i="6"/>
  <c r="AD47" i="6"/>
  <c r="AC47" i="6"/>
  <c r="X47" i="6"/>
  <c r="W47" i="6"/>
  <c r="V47" i="6"/>
  <c r="U47" i="6"/>
  <c r="T47" i="6"/>
  <c r="S47" i="6"/>
  <c r="R47" i="6"/>
  <c r="Q47" i="6"/>
  <c r="M47" i="6"/>
  <c r="AS46" i="6"/>
  <c r="AS45" i="6"/>
  <c r="AS44" i="6"/>
  <c r="AS43" i="6"/>
  <c r="AS42" i="6"/>
  <c r="AS41" i="6"/>
  <c r="E47" i="6"/>
  <c r="AS40" i="6"/>
  <c r="AS39" i="6"/>
  <c r="AS37" i="6"/>
  <c r="AS36" i="6"/>
  <c r="AI35" i="6"/>
  <c r="AH35" i="6"/>
  <c r="AG35" i="6"/>
  <c r="P35" i="6"/>
  <c r="P47" i="6" s="1"/>
  <c r="AS33" i="6"/>
  <c r="AS32" i="6"/>
  <c r="AS31" i="6"/>
  <c r="AJ29" i="6"/>
  <c r="AJ47" i="6" s="1"/>
  <c r="AI29" i="6"/>
  <c r="AH29" i="6"/>
  <c r="AH47" i="6" s="1"/>
  <c r="AG29" i="6"/>
  <c r="O47" i="6"/>
  <c r="N47" i="6"/>
  <c r="L47" i="6"/>
  <c r="K47" i="6"/>
  <c r="J47" i="6"/>
  <c r="I47" i="6"/>
  <c r="H47" i="6"/>
  <c r="G47" i="6"/>
  <c r="F47" i="6"/>
  <c r="D47" i="6"/>
  <c r="C47" i="6"/>
  <c r="B47" i="6"/>
  <c r="AF47" i="6"/>
  <c r="AE47" i="6"/>
  <c r="AB47" i="6"/>
  <c r="AA47" i="6"/>
  <c r="Z47" i="6"/>
  <c r="Y47" i="6"/>
  <c r="AP26" i="6"/>
  <c r="AH26" i="6"/>
  <c r="AF26" i="6"/>
  <c r="AE26" i="6"/>
  <c r="AS23" i="6"/>
  <c r="AS22" i="6"/>
  <c r="AS21" i="6"/>
  <c r="AS20" i="6"/>
  <c r="AS19" i="6"/>
  <c r="AS18" i="6"/>
  <c r="AS17" i="6"/>
  <c r="P16" i="6"/>
  <c r="AS16" i="6"/>
  <c r="I12" i="6"/>
  <c r="AS14" i="6"/>
  <c r="O12" i="6"/>
  <c r="AS13" i="6"/>
  <c r="AJ12" i="6"/>
  <c r="AI12" i="6"/>
  <c r="AH12" i="6"/>
  <c r="AG12" i="6"/>
  <c r="AD12" i="6"/>
  <c r="AD24" i="6" s="1"/>
  <c r="AC12" i="6"/>
  <c r="AB12" i="6"/>
  <c r="AA12" i="6"/>
  <c r="Z12" i="6"/>
  <c r="Y12" i="6"/>
  <c r="Y24" i="6" s="1"/>
  <c r="X12" i="6"/>
  <c r="W12" i="6"/>
  <c r="V12" i="6"/>
  <c r="U12" i="6"/>
  <c r="T12" i="6"/>
  <c r="S12" i="6"/>
  <c r="R12" i="6"/>
  <c r="Q12" i="6"/>
  <c r="P12" i="6"/>
  <c r="N12" i="6"/>
  <c r="M12" i="6"/>
  <c r="L12" i="6"/>
  <c r="K12" i="6"/>
  <c r="J12" i="6"/>
  <c r="H12" i="6"/>
  <c r="G12" i="6"/>
  <c r="F12" i="6"/>
  <c r="E12" i="6"/>
  <c r="AS10" i="6"/>
  <c r="AS9" i="6"/>
  <c r="AS8" i="6"/>
  <c r="AO6" i="6"/>
  <c r="L6" i="6"/>
  <c r="D6" i="6"/>
  <c r="D24" i="6" s="1"/>
  <c r="AK6" i="6"/>
  <c r="AK24" i="6" s="1"/>
  <c r="AJ6" i="6"/>
  <c r="AI6" i="6"/>
  <c r="AH6" i="6"/>
  <c r="AH24" i="6" s="1"/>
  <c r="AG6" i="6"/>
  <c r="AG24" i="6" s="1"/>
  <c r="AC6" i="6"/>
  <c r="AB6" i="6"/>
  <c r="AB24" i="6" s="1"/>
  <c r="AA6" i="6"/>
  <c r="AA24" i="6" s="1"/>
  <c r="Z6" i="6"/>
  <c r="Z24" i="6" s="1"/>
  <c r="Y6" i="6"/>
  <c r="X6" i="6"/>
  <c r="W6" i="6"/>
  <c r="V6" i="6"/>
  <c r="U6" i="6"/>
  <c r="T6" i="6"/>
  <c r="S6" i="6"/>
  <c r="S24" i="6" s="1"/>
  <c r="R6" i="6"/>
  <c r="Q6" i="6"/>
  <c r="P6" i="6"/>
  <c r="O6" i="6"/>
  <c r="N6" i="6"/>
  <c r="N24" i="6" s="1"/>
  <c r="M6" i="6"/>
  <c r="M24" i="6" s="1"/>
  <c r="K6" i="6"/>
  <c r="J6" i="6"/>
  <c r="I6" i="6"/>
  <c r="I24" i="6" s="1"/>
  <c r="H6" i="6"/>
  <c r="G6" i="6"/>
  <c r="F6" i="6"/>
  <c r="F24" i="6" s="1"/>
  <c r="E6" i="6"/>
  <c r="E24" i="6" s="1"/>
  <c r="C6" i="6"/>
  <c r="C24" i="6" s="1"/>
  <c r="B6" i="6"/>
  <c r="B24" i="6" s="1"/>
  <c r="AF24" i="6"/>
  <c r="AE24" i="6"/>
  <c r="AR26" i="6"/>
  <c r="AO26" i="6"/>
  <c r="AK26" i="6"/>
  <c r="AJ26" i="6"/>
  <c r="AI26" i="6"/>
  <c r="AG26" i="6"/>
  <c r="AI39" i="5"/>
  <c r="AJ32" i="5" s="1"/>
  <c r="AH39" i="5"/>
  <c r="AG39" i="5"/>
  <c r="AE39" i="5"/>
  <c r="AF39" i="5" s="1"/>
  <c r="AD39" i="5"/>
  <c r="AC39" i="5"/>
  <c r="AB39" i="5"/>
  <c r="AA39" i="5"/>
  <c r="Z39" i="5"/>
  <c r="Y39" i="5"/>
  <c r="X39" i="5"/>
  <c r="W39" i="5"/>
  <c r="U39" i="5"/>
  <c r="T39" i="5"/>
  <c r="S39" i="5" s="1"/>
  <c r="R39" i="5" s="1"/>
  <c r="Q39" i="5" s="1"/>
  <c r="AI38" i="5"/>
  <c r="AJ31" i="5" s="1"/>
  <c r="AH38" i="5"/>
  <c r="AG38" i="5"/>
  <c r="AE38" i="5"/>
  <c r="AF38" i="5" s="1"/>
  <c r="AD38" i="5"/>
  <c r="AC38" i="5"/>
  <c r="AA38" i="5"/>
  <c r="Z38" i="5"/>
  <c r="Y38" i="5"/>
  <c r="AH37" i="5"/>
  <c r="AG37" i="5"/>
  <c r="AM32" i="5"/>
  <c r="AL32" i="5"/>
  <c r="AK32" i="5"/>
  <c r="AI32" i="5"/>
  <c r="AH32" i="5"/>
  <c r="AG32" i="5"/>
  <c r="AE32" i="5"/>
  <c r="AD32" i="5"/>
  <c r="AC32" i="5"/>
  <c r="AB32" i="5"/>
  <c r="AA32" i="5"/>
  <c r="Z32" i="5"/>
  <c r="AN32" i="5" s="1"/>
  <c r="Y32" i="5"/>
  <c r="X32" i="5"/>
  <c r="W32" i="5"/>
  <c r="AM31" i="5"/>
  <c r="AL31" i="5"/>
  <c r="AK31" i="5"/>
  <c r="AI31" i="5"/>
  <c r="AH31" i="5"/>
  <c r="AG31" i="5"/>
  <c r="AE31" i="5"/>
  <c r="AD31" i="5"/>
  <c r="AC31" i="5"/>
  <c r="AA31" i="5"/>
  <c r="Z31" i="5"/>
  <c r="Y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AL26" i="5"/>
  <c r="AK26" i="5"/>
  <c r="AJ26" i="5"/>
  <c r="AF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I10" i="5"/>
  <c r="AI26" i="5" s="1"/>
  <c r="AH10" i="5"/>
  <c r="AH26" i="5" s="1"/>
  <c r="AG10" i="5"/>
  <c r="AG26" i="5" s="1"/>
  <c r="AF10" i="5"/>
  <c r="AF3" i="5" s="1"/>
  <c r="AE10" i="5"/>
  <c r="AE26" i="5" s="1"/>
  <c r="AD10" i="5"/>
  <c r="AD26" i="5" s="1"/>
  <c r="AC10" i="5"/>
  <c r="AC26" i="5" s="1"/>
  <c r="AB10" i="5"/>
  <c r="AB26" i="5" s="1"/>
  <c r="AA10" i="5"/>
  <c r="AA26" i="5" s="1"/>
  <c r="Z10" i="5"/>
  <c r="Z26" i="5" s="1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N9" i="5"/>
  <c r="AN8" i="5"/>
  <c r="AN7" i="5"/>
  <c r="AL3" i="5"/>
  <c r="AK3" i="5"/>
  <c r="AJ3" i="5"/>
  <c r="AI3" i="5"/>
  <c r="AG3" i="5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M8" i="4"/>
  <c r="AM3" i="4" s="1"/>
  <c r="AL8" i="4"/>
  <c r="AL29" i="4" s="1"/>
  <c r="AK8" i="4"/>
  <c r="AK29" i="4" s="1"/>
  <c r="AJ8" i="4"/>
  <c r="AJ29" i="4" s="1"/>
  <c r="AI8" i="4"/>
  <c r="AI29" i="4" s="1"/>
  <c r="AH8" i="4"/>
  <c r="AH29" i="4" s="1"/>
  <c r="AG8" i="4"/>
  <c r="AG29" i="4" s="1"/>
  <c r="AF8" i="4"/>
  <c r="AF3" i="4" s="1"/>
  <c r="AE8" i="4"/>
  <c r="AE29" i="4" s="1"/>
  <c r="AD8" i="4"/>
  <c r="AD29" i="4" s="1"/>
  <c r="AC8" i="4"/>
  <c r="AC29" i="4" s="1"/>
  <c r="AB8" i="4"/>
  <c r="AB29" i="4" s="1"/>
  <c r="AA8" i="4"/>
  <c r="AA29" i="4" s="1"/>
  <c r="Z8" i="4"/>
  <c r="Z29" i="4" s="1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N7" i="4"/>
  <c r="AE6" i="4"/>
  <c r="C6" i="4"/>
  <c r="AH3" i="4"/>
  <c r="AE3" i="4"/>
  <c r="AD3" i="4"/>
  <c r="AC3" i="4"/>
  <c r="AB3" i="4"/>
  <c r="AR94" i="3"/>
  <c r="AR176" i="3"/>
  <c r="AS176" i="3"/>
  <c r="AR175" i="3"/>
  <c r="AQ175" i="3"/>
  <c r="AQ94" i="3" s="1"/>
  <c r="AS94" i="3" s="1"/>
  <c r="AR174" i="3"/>
  <c r="AS174" i="3"/>
  <c r="AR173" i="3"/>
  <c r="AS173" i="3" s="1"/>
  <c r="AQ173" i="3"/>
  <c r="AQ172" i="3"/>
  <c r="AQ95" i="3" s="1"/>
  <c r="AP172" i="3"/>
  <c r="AP95" i="3" s="1"/>
  <c r="AS90" i="3"/>
  <c r="AR171" i="3"/>
  <c r="AS171" i="3" s="1"/>
  <c r="AR170" i="3"/>
  <c r="AQ170" i="3"/>
  <c r="AQ169" i="3"/>
  <c r="AP169" i="3"/>
  <c r="AP168" i="3"/>
  <c r="AO168" i="3"/>
  <c r="AO167" i="3"/>
  <c r="AP167" i="3" s="1"/>
  <c r="AQ167" i="3" s="1"/>
  <c r="AR167" i="3" s="1"/>
  <c r="AN167" i="3"/>
  <c r="AN166" i="3"/>
  <c r="AO166" i="3" s="1"/>
  <c r="AS170" i="3"/>
  <c r="AR158" i="3"/>
  <c r="AS158" i="3" s="1"/>
  <c r="AR157" i="3"/>
  <c r="AQ157" i="3"/>
  <c r="AQ156" i="3"/>
  <c r="AR156" i="3" s="1"/>
  <c r="AP156" i="3"/>
  <c r="AP155" i="3"/>
  <c r="AQ155" i="3" s="1"/>
  <c r="AR155" i="3" s="1"/>
  <c r="AO155" i="3"/>
  <c r="AO154" i="3"/>
  <c r="AP154" i="3" s="1"/>
  <c r="AQ154" i="3" s="1"/>
  <c r="AR154" i="3" s="1"/>
  <c r="AN154" i="3"/>
  <c r="AN153" i="3"/>
  <c r="AO153" i="3" s="1"/>
  <c r="AP153" i="3" s="1"/>
  <c r="AQ153" i="3" s="1"/>
  <c r="AR153" i="3" s="1"/>
  <c r="AR144" i="3"/>
  <c r="AS144" i="3" s="1"/>
  <c r="AR143" i="3"/>
  <c r="AQ143" i="3"/>
  <c r="AQ142" i="3"/>
  <c r="AP142" i="3"/>
  <c r="AP141" i="3"/>
  <c r="AO141" i="3"/>
  <c r="AO140" i="3"/>
  <c r="AP140" i="3" s="1"/>
  <c r="AN140" i="3"/>
  <c r="AN139" i="3"/>
  <c r="AO139" i="3" s="1"/>
  <c r="AP139" i="3" s="1"/>
  <c r="AQ139" i="3" s="1"/>
  <c r="AR139" i="3" s="1"/>
  <c r="AR119" i="3"/>
  <c r="AR118" i="3"/>
  <c r="AQ118" i="3"/>
  <c r="AS118" i="3" s="1"/>
  <c r="AQ117" i="3"/>
  <c r="AP117" i="3"/>
  <c r="AP116" i="3"/>
  <c r="AO116" i="3"/>
  <c r="AO115" i="3"/>
  <c r="AP115" i="3" s="1"/>
  <c r="AQ115" i="3" s="1"/>
  <c r="AR115" i="3" s="1"/>
  <c r="AN115" i="3"/>
  <c r="AN114" i="3"/>
  <c r="AO114" i="3"/>
  <c r="AP114" i="3" s="1"/>
  <c r="AQ114" i="3" s="1"/>
  <c r="AR114" i="3" s="1"/>
  <c r="AS119" i="3"/>
  <c r="AN76" i="3"/>
  <c r="AO76" i="3"/>
  <c r="AP76" i="3"/>
  <c r="AQ76" i="3"/>
  <c r="AR76" i="3"/>
  <c r="AN75" i="3"/>
  <c r="AO75" i="3"/>
  <c r="AP75" i="3"/>
  <c r="AQ75" i="3"/>
  <c r="AR75" i="3"/>
  <c r="AN73" i="3"/>
  <c r="AO73" i="3"/>
  <c r="AP73" i="3"/>
  <c r="AQ73" i="3"/>
  <c r="AR73" i="3"/>
  <c r="AS11" i="3"/>
  <c r="AS10" i="3"/>
  <c r="AR18" i="3"/>
  <c r="AR67" i="3" s="1"/>
  <c r="AS67" i="3" s="1"/>
  <c r="AQ18" i="3"/>
  <c r="AR66" i="3" s="1"/>
  <c r="AP18" i="3"/>
  <c r="AQ65" i="3" s="1"/>
  <c r="AR65" i="3" s="1"/>
  <c r="AO18" i="3"/>
  <c r="AP64" i="3" s="1"/>
  <c r="AQ64" i="3" s="1"/>
  <c r="AR64" i="3" s="1"/>
  <c r="AN18" i="3"/>
  <c r="AO63" i="3" s="1"/>
  <c r="AP63" i="3" s="1"/>
  <c r="AS189" i="2"/>
  <c r="AT189" i="2" s="1"/>
  <c r="AR187" i="2"/>
  <c r="AS187" i="2" s="1"/>
  <c r="AQ187" i="2"/>
  <c r="AQ186" i="2"/>
  <c r="AR186" i="2" s="1"/>
  <c r="AP186" i="2"/>
  <c r="AP185" i="2"/>
  <c r="AQ185" i="2" s="1"/>
  <c r="AR185" i="2" s="1"/>
  <c r="AS185" i="2" s="1"/>
  <c r="AO185" i="2"/>
  <c r="AO184" i="2"/>
  <c r="AP184" i="2" s="1"/>
  <c r="AQ184" i="2" s="1"/>
  <c r="AR184" i="2" s="1"/>
  <c r="AS184" i="2" s="1"/>
  <c r="AS177" i="2"/>
  <c r="AT177" i="2" s="1"/>
  <c r="AS176" i="2"/>
  <c r="AR176" i="2"/>
  <c r="AR175" i="2"/>
  <c r="AS175" i="2" s="1"/>
  <c r="AQ175" i="2"/>
  <c r="AQ174" i="2"/>
  <c r="AR174" i="2" s="1"/>
  <c r="AS174" i="2" s="1"/>
  <c r="AP174" i="2"/>
  <c r="AP173" i="2"/>
  <c r="AQ173" i="2" s="1"/>
  <c r="AR173" i="2" s="1"/>
  <c r="AS173" i="2" s="1"/>
  <c r="AO173" i="2"/>
  <c r="AO172" i="2"/>
  <c r="AP172" i="2" s="1"/>
  <c r="AQ172" i="2" s="1"/>
  <c r="AR172" i="2" s="1"/>
  <c r="AS172" i="2" s="1"/>
  <c r="AS141" i="2"/>
  <c r="AT141" i="2" s="1"/>
  <c r="AS140" i="2"/>
  <c r="AR140" i="2"/>
  <c r="AR139" i="2"/>
  <c r="AS139" i="2" s="1"/>
  <c r="AQ139" i="2"/>
  <c r="AQ138" i="2"/>
  <c r="AR138" i="2" s="1"/>
  <c r="AS138" i="2" s="1"/>
  <c r="AP138" i="2"/>
  <c r="AP137" i="2"/>
  <c r="AQ137" i="2" s="1"/>
  <c r="AR137" i="2" s="1"/>
  <c r="AS137" i="2" s="1"/>
  <c r="AO137" i="2"/>
  <c r="AO136" i="2"/>
  <c r="AP136" i="2" s="1"/>
  <c r="AQ136" i="2" s="1"/>
  <c r="AR136" i="2" s="1"/>
  <c r="AS136" i="2" s="1"/>
  <c r="AO89" i="2"/>
  <c r="AP89" i="2"/>
  <c r="AQ89" i="2"/>
  <c r="AR89" i="2"/>
  <c r="AS89" i="2"/>
  <c r="AO90" i="2"/>
  <c r="AP90" i="2"/>
  <c r="AQ90" i="2"/>
  <c r="AR90" i="2"/>
  <c r="AS90" i="2"/>
  <c r="AO91" i="2"/>
  <c r="AP91" i="2"/>
  <c r="AQ91" i="2"/>
  <c r="AR91" i="2"/>
  <c r="AS91" i="2"/>
  <c r="AO92" i="2"/>
  <c r="AP92" i="2"/>
  <c r="AQ92" i="2"/>
  <c r="AR92" i="2"/>
  <c r="AS92" i="2"/>
  <c r="AO93" i="2"/>
  <c r="AP93" i="2"/>
  <c r="AQ93" i="2"/>
  <c r="AR93" i="2"/>
  <c r="AS93" i="2"/>
  <c r="AO94" i="2"/>
  <c r="AP94" i="2"/>
  <c r="AQ94" i="2"/>
  <c r="AR94" i="2"/>
  <c r="AS94" i="2"/>
  <c r="AO84" i="2"/>
  <c r="AP84" i="2"/>
  <c r="AQ84" i="2"/>
  <c r="AR84" i="2"/>
  <c r="AS84" i="2"/>
  <c r="AS73" i="2"/>
  <c r="AT73" i="2" s="1"/>
  <c r="AS72" i="2"/>
  <c r="AR72" i="2"/>
  <c r="AR71" i="2"/>
  <c r="AS71" i="2" s="1"/>
  <c r="AQ71" i="2"/>
  <c r="AQ70" i="2"/>
  <c r="AR70" i="2" s="1"/>
  <c r="AP70" i="2"/>
  <c r="AP69" i="2"/>
  <c r="AQ69" i="2" s="1"/>
  <c r="AR69" i="2" s="1"/>
  <c r="AS69" i="2" s="1"/>
  <c r="AO69" i="2"/>
  <c r="AT15" i="2"/>
  <c r="AT11" i="2"/>
  <c r="AZ27" i="2" s="1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M166" i="3"/>
  <c r="AM165" i="3"/>
  <c r="AN165" i="3" s="1"/>
  <c r="AO165" i="3" s="1"/>
  <c r="AP165" i="3" s="1"/>
  <c r="AQ165" i="3" s="1"/>
  <c r="AR165" i="3" s="1"/>
  <c r="AL165" i="3"/>
  <c r="AL164" i="3"/>
  <c r="AM164" i="3" s="1"/>
  <c r="AN164" i="3" s="1"/>
  <c r="AO164" i="3" s="1"/>
  <c r="AP164" i="3" s="1"/>
  <c r="AQ164" i="3" s="1"/>
  <c r="AR164" i="3" s="1"/>
  <c r="AK164" i="3"/>
  <c r="AK163" i="3"/>
  <c r="AL163" i="3" s="1"/>
  <c r="AM163" i="3" s="1"/>
  <c r="AN163" i="3" s="1"/>
  <c r="AO163" i="3" s="1"/>
  <c r="AP163" i="3" s="1"/>
  <c r="AQ163" i="3" s="1"/>
  <c r="AR163" i="3" s="1"/>
  <c r="AJ163" i="3"/>
  <c r="AJ162" i="3"/>
  <c r="AK162" i="3" s="1"/>
  <c r="AL162" i="3" s="1"/>
  <c r="AM162" i="3" s="1"/>
  <c r="AN162" i="3" s="1"/>
  <c r="AO162" i="3" s="1"/>
  <c r="AP162" i="3" s="1"/>
  <c r="AQ162" i="3" s="1"/>
  <c r="AR162" i="3" s="1"/>
  <c r="AI162" i="3"/>
  <c r="AI161" i="3"/>
  <c r="AJ161" i="3" s="1"/>
  <c r="AK161" i="3" s="1"/>
  <c r="AL161" i="3" s="1"/>
  <c r="AM161" i="3" s="1"/>
  <c r="AN161" i="3" s="1"/>
  <c r="AH161" i="3"/>
  <c r="AH160" i="3"/>
  <c r="AI160" i="3" s="1"/>
  <c r="AJ160" i="3" s="1"/>
  <c r="AK160" i="3" s="1"/>
  <c r="AL160" i="3" s="1"/>
  <c r="AM160" i="3" s="1"/>
  <c r="AN160" i="3" s="1"/>
  <c r="AO160" i="3" s="1"/>
  <c r="AG160" i="3"/>
  <c r="AG159" i="3"/>
  <c r="AH159" i="3" s="1"/>
  <c r="AI159" i="3" s="1"/>
  <c r="AJ159" i="3" s="1"/>
  <c r="AK159" i="3" s="1"/>
  <c r="AF159" i="3"/>
  <c r="AF92" i="3" s="1"/>
  <c r="AM153" i="3"/>
  <c r="AM152" i="3"/>
  <c r="AL152" i="3"/>
  <c r="AL151" i="3"/>
  <c r="AM151" i="3" s="1"/>
  <c r="AN151" i="3" s="1"/>
  <c r="AO151" i="3" s="1"/>
  <c r="AP151" i="3" s="1"/>
  <c r="AQ151" i="3" s="1"/>
  <c r="AR151" i="3" s="1"/>
  <c r="AK151" i="3"/>
  <c r="AL150" i="3"/>
  <c r="AM150" i="3" s="1"/>
  <c r="AN150" i="3" s="1"/>
  <c r="AO150" i="3" s="1"/>
  <c r="AJ150" i="3"/>
  <c r="AL149" i="3"/>
  <c r="AM149" i="3" s="1"/>
  <c r="AN149" i="3" s="1"/>
  <c r="AO149" i="3" s="1"/>
  <c r="AP149" i="3" s="1"/>
  <c r="AQ149" i="3" s="1"/>
  <c r="AR149" i="3" s="1"/>
  <c r="AJ149" i="3"/>
  <c r="AI149" i="3"/>
  <c r="AL148" i="3"/>
  <c r="AM148" i="3" s="1"/>
  <c r="AN148" i="3" s="1"/>
  <c r="AO148" i="3" s="1"/>
  <c r="AP148" i="3" s="1"/>
  <c r="AQ148" i="3" s="1"/>
  <c r="AR148" i="3" s="1"/>
  <c r="AH148" i="3"/>
  <c r="AH147" i="3"/>
  <c r="AI147" i="3" s="1"/>
  <c r="AJ147" i="3" s="1"/>
  <c r="AK147" i="3" s="1"/>
  <c r="AL147" i="3" s="1"/>
  <c r="AM147" i="3" s="1"/>
  <c r="AN147" i="3" s="1"/>
  <c r="AO147" i="3" s="1"/>
  <c r="AP147" i="3" s="1"/>
  <c r="AQ147" i="3" s="1"/>
  <c r="AR147" i="3" s="1"/>
  <c r="AG147" i="3"/>
  <c r="AG146" i="3"/>
  <c r="AH146" i="3" s="1"/>
  <c r="AI146" i="3" s="1"/>
  <c r="AJ146" i="3" s="1"/>
  <c r="AK146" i="3" s="1"/>
  <c r="AL146" i="3" s="1"/>
  <c r="AM146" i="3" s="1"/>
  <c r="AN146" i="3" s="1"/>
  <c r="AO146" i="3" s="1"/>
  <c r="AP146" i="3" s="1"/>
  <c r="AF146" i="3"/>
  <c r="AF145" i="3"/>
  <c r="AG145" i="3" s="1"/>
  <c r="AE145" i="3"/>
  <c r="AM139" i="3"/>
  <c r="AM138" i="3"/>
  <c r="AN138" i="3" s="1"/>
  <c r="AL138" i="3"/>
  <c r="AL137" i="3"/>
  <c r="AM137" i="3" s="1"/>
  <c r="AN137" i="3" s="1"/>
  <c r="AO137" i="3" s="1"/>
  <c r="AP137" i="3" s="1"/>
  <c r="AQ137" i="3" s="1"/>
  <c r="AR137" i="3" s="1"/>
  <c r="AK137" i="3"/>
  <c r="AK136" i="3"/>
  <c r="AL136" i="3" s="1"/>
  <c r="AM136" i="3" s="1"/>
  <c r="AN136" i="3" s="1"/>
  <c r="AO136" i="3" s="1"/>
  <c r="AP136" i="3" s="1"/>
  <c r="AQ136" i="3" s="1"/>
  <c r="AR136" i="3" s="1"/>
  <c r="AJ136" i="3"/>
  <c r="AJ135" i="3"/>
  <c r="AK135" i="3" s="1"/>
  <c r="AL135" i="3" s="1"/>
  <c r="AM135" i="3" s="1"/>
  <c r="AN135" i="3" s="1"/>
  <c r="AO135" i="3" s="1"/>
  <c r="AP135" i="3" s="1"/>
  <c r="AQ135" i="3" s="1"/>
  <c r="AR135" i="3" s="1"/>
  <c r="AI135" i="3"/>
  <c r="AI134" i="3"/>
  <c r="AJ134" i="3" s="1"/>
  <c r="AK134" i="3" s="1"/>
  <c r="AL134" i="3" s="1"/>
  <c r="AM134" i="3" s="1"/>
  <c r="AN134" i="3" s="1"/>
  <c r="AO134" i="3" s="1"/>
  <c r="AH134" i="3"/>
  <c r="AH133" i="3"/>
  <c r="AI133" i="3" s="1"/>
  <c r="AJ133" i="3" s="1"/>
  <c r="AK133" i="3" s="1"/>
  <c r="AL133" i="3" s="1"/>
  <c r="AM133" i="3" s="1"/>
  <c r="AN133" i="3" s="1"/>
  <c r="AO133" i="3" s="1"/>
  <c r="AP133" i="3" s="1"/>
  <c r="AQ133" i="3" s="1"/>
  <c r="AR133" i="3" s="1"/>
  <c r="AG133" i="3"/>
  <c r="AG132" i="3"/>
  <c r="AH132" i="3" s="1"/>
  <c r="AI132" i="3" s="1"/>
  <c r="AJ132" i="3" s="1"/>
  <c r="AK132" i="3" s="1"/>
  <c r="AL132" i="3" s="1"/>
  <c r="AM132" i="3" s="1"/>
  <c r="AN132" i="3" s="1"/>
  <c r="AO132" i="3" s="1"/>
  <c r="AP132" i="3" s="1"/>
  <c r="AQ132" i="3" s="1"/>
  <c r="AR132" i="3" s="1"/>
  <c r="AF132" i="3"/>
  <c r="AF131" i="3"/>
  <c r="AG131" i="3" s="1"/>
  <c r="AH131" i="3" s="1"/>
  <c r="AI131" i="3" s="1"/>
  <c r="AJ131" i="3" s="1"/>
  <c r="AK131" i="3" s="1"/>
  <c r="AL131" i="3" s="1"/>
  <c r="AM131" i="3" s="1"/>
  <c r="AN131" i="3" s="1"/>
  <c r="AO131" i="3" s="1"/>
  <c r="AP131" i="3" s="1"/>
  <c r="AQ131" i="3" s="1"/>
  <c r="AR131" i="3" s="1"/>
  <c r="AE131" i="3"/>
  <c r="AE130" i="3"/>
  <c r="AF130" i="3" s="1"/>
  <c r="AG130" i="3" s="1"/>
  <c r="AH130" i="3" s="1"/>
  <c r="AI130" i="3" s="1"/>
  <c r="AJ130" i="3" s="1"/>
  <c r="AK130" i="3" s="1"/>
  <c r="AL130" i="3" s="1"/>
  <c r="AM130" i="3" s="1"/>
  <c r="AN130" i="3" s="1"/>
  <c r="AO130" i="3" s="1"/>
  <c r="AP130" i="3" s="1"/>
  <c r="AQ130" i="3" s="1"/>
  <c r="AR130" i="3" s="1"/>
  <c r="AD130" i="3"/>
  <c r="AD129" i="3"/>
  <c r="AE129" i="3" s="1"/>
  <c r="AF129" i="3" s="1"/>
  <c r="AG129" i="3" s="1"/>
  <c r="AC129" i="3"/>
  <c r="AC128" i="3"/>
  <c r="AD128" i="3" s="1"/>
  <c r="AE128" i="3" s="1"/>
  <c r="AF128" i="3" s="1"/>
  <c r="AG128" i="3" s="1"/>
  <c r="AH128" i="3" s="1"/>
  <c r="AI128" i="3" s="1"/>
  <c r="AJ128" i="3" s="1"/>
  <c r="AK128" i="3" s="1"/>
  <c r="AL128" i="3" s="1"/>
  <c r="AM128" i="3" s="1"/>
  <c r="AN128" i="3" s="1"/>
  <c r="AO128" i="3" s="1"/>
  <c r="AP128" i="3" s="1"/>
  <c r="AQ128" i="3" s="1"/>
  <c r="AR128" i="3" s="1"/>
  <c r="AB128" i="3"/>
  <c r="AB127" i="3"/>
  <c r="AC127" i="3" s="1"/>
  <c r="AD127" i="3" s="1"/>
  <c r="AE127" i="3" s="1"/>
  <c r="AF127" i="3" s="1"/>
  <c r="AG127" i="3" s="1"/>
  <c r="AH127" i="3" s="1"/>
  <c r="AI127" i="3" s="1"/>
  <c r="AJ127" i="3" s="1"/>
  <c r="AK127" i="3" s="1"/>
  <c r="AL127" i="3" s="1"/>
  <c r="AM127" i="3" s="1"/>
  <c r="AN127" i="3" s="1"/>
  <c r="AO127" i="3" s="1"/>
  <c r="AP127" i="3" s="1"/>
  <c r="AQ127" i="3" s="1"/>
  <c r="AR127" i="3" s="1"/>
  <c r="AA127" i="3"/>
  <c r="AA126" i="3"/>
  <c r="AB126" i="3" s="1"/>
  <c r="AC126" i="3" s="1"/>
  <c r="AD126" i="3" s="1"/>
  <c r="AE126" i="3" s="1"/>
  <c r="AF126" i="3" s="1"/>
  <c r="AG126" i="3" s="1"/>
  <c r="AH126" i="3" s="1"/>
  <c r="AI126" i="3" s="1"/>
  <c r="AJ126" i="3" s="1"/>
  <c r="AK126" i="3" s="1"/>
  <c r="AL126" i="3" s="1"/>
  <c r="AM126" i="3" s="1"/>
  <c r="AN126" i="3" s="1"/>
  <c r="AO126" i="3" s="1"/>
  <c r="Z126" i="3"/>
  <c r="Z125" i="3"/>
  <c r="Y125" i="3"/>
  <c r="Y177" i="3" s="1"/>
  <c r="AH124" i="3"/>
  <c r="AI124" i="3" s="1"/>
  <c r="AJ124" i="3" s="1"/>
  <c r="AK124" i="3" s="1"/>
  <c r="AL124" i="3" s="1"/>
  <c r="AM124" i="3" s="1"/>
  <c r="AN124" i="3" s="1"/>
  <c r="AG124" i="3"/>
  <c r="AG123" i="3"/>
  <c r="AH123" i="3" s="1"/>
  <c r="AI123" i="3" s="1"/>
  <c r="AJ123" i="3" s="1"/>
  <c r="AK123" i="3" s="1"/>
  <c r="AL123" i="3" s="1"/>
  <c r="AM123" i="3" s="1"/>
  <c r="AN123" i="3" s="1"/>
  <c r="AO123" i="3" s="1"/>
  <c r="AP123" i="3" s="1"/>
  <c r="AQ123" i="3" s="1"/>
  <c r="AR123" i="3" s="1"/>
  <c r="AF123" i="3"/>
  <c r="AF122" i="3"/>
  <c r="AG122" i="3" s="1"/>
  <c r="AH122" i="3" s="1"/>
  <c r="AI122" i="3" s="1"/>
  <c r="AJ122" i="3" s="1"/>
  <c r="AK122" i="3" s="1"/>
  <c r="AL122" i="3" s="1"/>
  <c r="AM122" i="3" s="1"/>
  <c r="AN122" i="3" s="1"/>
  <c r="AO122" i="3" s="1"/>
  <c r="AP122" i="3" s="1"/>
  <c r="AQ122" i="3" s="1"/>
  <c r="AR122" i="3" s="1"/>
  <c r="AE122" i="3"/>
  <c r="AE121" i="3"/>
  <c r="AF121" i="3" s="1"/>
  <c r="AG121" i="3" s="1"/>
  <c r="AH121" i="3" s="1"/>
  <c r="AI121" i="3" s="1"/>
  <c r="AJ121" i="3" s="1"/>
  <c r="AK121" i="3" s="1"/>
  <c r="AL121" i="3" s="1"/>
  <c r="AM121" i="3" s="1"/>
  <c r="AN121" i="3" s="1"/>
  <c r="AD121" i="3"/>
  <c r="AD120" i="3"/>
  <c r="AC120" i="3"/>
  <c r="AM114" i="3"/>
  <c r="AM113" i="3"/>
  <c r="AN113" i="3" s="1"/>
  <c r="AO113" i="3" s="1"/>
  <c r="AL113" i="3"/>
  <c r="AL112" i="3"/>
  <c r="AM112" i="3" s="1"/>
  <c r="AN112" i="3" s="1"/>
  <c r="AO112" i="3" s="1"/>
  <c r="AP112" i="3" s="1"/>
  <c r="AQ112" i="3" s="1"/>
  <c r="AR112" i="3" s="1"/>
  <c r="AK112" i="3"/>
  <c r="AK111" i="3"/>
  <c r="AL111" i="3" s="1"/>
  <c r="AM111" i="3" s="1"/>
  <c r="AN111" i="3" s="1"/>
  <c r="AO111" i="3" s="1"/>
  <c r="AP111" i="3" s="1"/>
  <c r="AQ111" i="3" s="1"/>
  <c r="AR111" i="3" s="1"/>
  <c r="AJ111" i="3"/>
  <c r="AS111" i="3" s="1"/>
  <c r="AJ110" i="3"/>
  <c r="AK110" i="3" s="1"/>
  <c r="AL110" i="3" s="1"/>
  <c r="AI110" i="3"/>
  <c r="AH108" i="3"/>
  <c r="AI108" i="3" s="1"/>
  <c r="AJ108" i="3" s="1"/>
  <c r="AK108" i="3" s="1"/>
  <c r="AL108" i="3" s="1"/>
  <c r="AM108" i="3" s="1"/>
  <c r="AN108" i="3" s="1"/>
  <c r="AO108" i="3" s="1"/>
  <c r="AP108" i="3" s="1"/>
  <c r="AQ108" i="3" s="1"/>
  <c r="AR108" i="3" s="1"/>
  <c r="AG108" i="3"/>
  <c r="AG107" i="3"/>
  <c r="AH107" i="3" s="1"/>
  <c r="AI107" i="3" s="1"/>
  <c r="AJ107" i="3" s="1"/>
  <c r="AK107" i="3" s="1"/>
  <c r="AL107" i="3" s="1"/>
  <c r="AM107" i="3" s="1"/>
  <c r="AN107" i="3" s="1"/>
  <c r="AO107" i="3" s="1"/>
  <c r="AP107" i="3" s="1"/>
  <c r="AQ107" i="3" s="1"/>
  <c r="AR107" i="3" s="1"/>
  <c r="AF107" i="3"/>
  <c r="AF106" i="3"/>
  <c r="AG106" i="3" s="1"/>
  <c r="AH106" i="3" s="1"/>
  <c r="AI106" i="3" s="1"/>
  <c r="AJ106" i="3" s="1"/>
  <c r="AK106" i="3" s="1"/>
  <c r="AL106" i="3" s="1"/>
  <c r="AM106" i="3" s="1"/>
  <c r="AN106" i="3" s="1"/>
  <c r="AO106" i="3" s="1"/>
  <c r="AP106" i="3" s="1"/>
  <c r="AQ106" i="3" s="1"/>
  <c r="AR106" i="3" s="1"/>
  <c r="AE106" i="3"/>
  <c r="AS106" i="3" s="1"/>
  <c r="AE105" i="3"/>
  <c r="AD105" i="3"/>
  <c r="AS96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D83" i="3"/>
  <c r="C83" i="3"/>
  <c r="B83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D68" i="3"/>
  <c r="D182" i="3" s="1"/>
  <c r="C68" i="3"/>
  <c r="B68" i="3"/>
  <c r="BL28" i="3"/>
  <c r="BK27" i="3"/>
  <c r="BJ27" i="3"/>
  <c r="BI27" i="3"/>
  <c r="BH27" i="3"/>
  <c r="BG27" i="3"/>
  <c r="BF27" i="3"/>
  <c r="BK26" i="3"/>
  <c r="BJ26" i="3"/>
  <c r="BI26" i="3"/>
  <c r="BH26" i="3"/>
  <c r="BG26" i="3"/>
  <c r="BF26" i="3"/>
  <c r="BE26" i="3"/>
  <c r="BK25" i="3"/>
  <c r="BJ25" i="3"/>
  <c r="BI25" i="3"/>
  <c r="BH25" i="3"/>
  <c r="BG25" i="3"/>
  <c r="BF25" i="3"/>
  <c r="BE25" i="3"/>
  <c r="BD25" i="3"/>
  <c r="BC25" i="3"/>
  <c r="BB25" i="3"/>
  <c r="BB29" i="3" s="1"/>
  <c r="BA25" i="3"/>
  <c r="BA29" i="3" s="1"/>
  <c r="AZ25" i="3"/>
  <c r="AZ29" i="3" s="1"/>
  <c r="BG24" i="3"/>
  <c r="BF24" i="3"/>
  <c r="BE24" i="3"/>
  <c r="BD24" i="3"/>
  <c r="BC24" i="3"/>
  <c r="BK23" i="3"/>
  <c r="BJ23" i="3"/>
  <c r="BI23" i="3"/>
  <c r="BG23" i="3"/>
  <c r="BF23" i="3"/>
  <c r="BE23" i="3"/>
  <c r="BD23" i="3"/>
  <c r="BD29" i="3" s="1"/>
  <c r="AM18" i="3"/>
  <c r="AN62" i="3" s="1"/>
  <c r="AO62" i="3" s="1"/>
  <c r="AP62" i="3" s="1"/>
  <c r="AQ62" i="3" s="1"/>
  <c r="AR62" i="3" s="1"/>
  <c r="AL18" i="3"/>
  <c r="AK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X46" i="3" s="1"/>
  <c r="Y46" i="3" s="1"/>
  <c r="Z46" i="3" s="1"/>
  <c r="AA46" i="3" s="1"/>
  <c r="AB46" i="3" s="1"/>
  <c r="AC46" i="3" s="1"/>
  <c r="AD46" i="3" s="1"/>
  <c r="AE46" i="3" s="1"/>
  <c r="AF46" i="3" s="1"/>
  <c r="AG46" i="3" s="1"/>
  <c r="AH46" i="3" s="1"/>
  <c r="AI46" i="3" s="1"/>
  <c r="AJ46" i="3" s="1"/>
  <c r="AK46" i="3" s="1"/>
  <c r="AL46" i="3" s="1"/>
  <c r="AM46" i="3" s="1"/>
  <c r="AN46" i="3" s="1"/>
  <c r="AO46" i="3" s="1"/>
  <c r="AP46" i="3" s="1"/>
  <c r="AQ46" i="3" s="1"/>
  <c r="AR46" i="3" s="1"/>
  <c r="V18" i="3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AP45" i="3" s="1"/>
  <c r="AQ45" i="3" s="1"/>
  <c r="AR45" i="3" s="1"/>
  <c r="U18" i="3"/>
  <c r="U44" i="3" s="1"/>
  <c r="T18" i="3"/>
  <c r="S18" i="3"/>
  <c r="R18" i="3"/>
  <c r="Q18" i="3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AL40" i="3" s="1"/>
  <c r="AM40" i="3" s="1"/>
  <c r="AN40" i="3" s="1"/>
  <c r="AO40" i="3" s="1"/>
  <c r="AP40" i="3" s="1"/>
  <c r="AQ40" i="3" s="1"/>
  <c r="AR40" i="3" s="1"/>
  <c r="O18" i="3"/>
  <c r="N18" i="3"/>
  <c r="N37" i="3" s="1"/>
  <c r="M18" i="3"/>
  <c r="L18" i="3"/>
  <c r="L35" i="3" s="1"/>
  <c r="K18" i="3"/>
  <c r="J18" i="3"/>
  <c r="I18" i="3"/>
  <c r="H18" i="3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AF31" i="3" s="1"/>
  <c r="AG31" i="3" s="1"/>
  <c r="AH31" i="3" s="1"/>
  <c r="AI31" i="3" s="1"/>
  <c r="AJ31" i="3" s="1"/>
  <c r="AK31" i="3" s="1"/>
  <c r="AL31" i="3" s="1"/>
  <c r="AM31" i="3" s="1"/>
  <c r="AN31" i="3" s="1"/>
  <c r="AO31" i="3" s="1"/>
  <c r="AP31" i="3" s="1"/>
  <c r="AQ31" i="3" s="1"/>
  <c r="AR31" i="3" s="1"/>
  <c r="G18" i="3"/>
  <c r="F18" i="3"/>
  <c r="E18" i="3"/>
  <c r="E83" i="3" s="1"/>
  <c r="AU17" i="3"/>
  <c r="AJ17" i="3"/>
  <c r="AS17" i="3" s="1"/>
  <c r="AU16" i="3"/>
  <c r="AJ16" i="3"/>
  <c r="AM81" i="3" s="1"/>
  <c r="AJ15" i="3"/>
  <c r="AL80" i="3" s="1"/>
  <c r="AU14" i="3"/>
  <c r="AJ14" i="3"/>
  <c r="P14" i="3"/>
  <c r="AU13" i="3"/>
  <c r="AJ13" i="3"/>
  <c r="AS13" i="3" s="1"/>
  <c r="AU12" i="3"/>
  <c r="AJ12" i="3"/>
  <c r="AS12" i="3" s="1"/>
  <c r="AU10" i="3"/>
  <c r="AU9" i="3"/>
  <c r="AJ9" i="3"/>
  <c r="AS9" i="3" s="1"/>
  <c r="AS8" i="3"/>
  <c r="U7" i="3"/>
  <c r="T7" i="3"/>
  <c r="AS5" i="3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AN184" i="2"/>
  <c r="AN183" i="2"/>
  <c r="AO183" i="2" s="1"/>
  <c r="AP183" i="2" s="1"/>
  <c r="AQ183" i="2" s="1"/>
  <c r="AR183" i="2" s="1"/>
  <c r="AS183" i="2" s="1"/>
  <c r="AM183" i="2"/>
  <c r="AM182" i="2"/>
  <c r="AN182" i="2" s="1"/>
  <c r="AO182" i="2" s="1"/>
  <c r="AP182" i="2" s="1"/>
  <c r="AQ182" i="2" s="1"/>
  <c r="AR182" i="2" s="1"/>
  <c r="AS182" i="2" s="1"/>
  <c r="AL182" i="2"/>
  <c r="AL181" i="2"/>
  <c r="AM181" i="2" s="1"/>
  <c r="AN181" i="2" s="1"/>
  <c r="AO181" i="2" s="1"/>
  <c r="AP181" i="2" s="1"/>
  <c r="AQ181" i="2" s="1"/>
  <c r="AR181" i="2" s="1"/>
  <c r="AS181" i="2" s="1"/>
  <c r="AK181" i="2"/>
  <c r="AK180" i="2"/>
  <c r="AL180" i="2" s="1"/>
  <c r="AM180" i="2" s="1"/>
  <c r="AN180" i="2" s="1"/>
  <c r="AO180" i="2" s="1"/>
  <c r="AJ180" i="2"/>
  <c r="AJ179" i="2"/>
  <c r="AK179" i="2" s="1"/>
  <c r="AL179" i="2" s="1"/>
  <c r="AM179" i="2" s="1"/>
  <c r="AN179" i="2" s="1"/>
  <c r="AO179" i="2" s="1"/>
  <c r="AP179" i="2" s="1"/>
  <c r="AQ179" i="2" s="1"/>
  <c r="AR179" i="2" s="1"/>
  <c r="AS179" i="2" s="1"/>
  <c r="AI179" i="2"/>
  <c r="AI178" i="2"/>
  <c r="AJ178" i="2" s="1"/>
  <c r="AH178" i="2"/>
  <c r="AH107" i="2" s="1"/>
  <c r="AN172" i="2"/>
  <c r="AT172" i="2" s="1"/>
  <c r="AN171" i="2"/>
  <c r="AO171" i="2" s="1"/>
  <c r="AP171" i="2" s="1"/>
  <c r="AQ171" i="2" s="1"/>
  <c r="AR171" i="2" s="1"/>
  <c r="AS171" i="2" s="1"/>
  <c r="AM171" i="2"/>
  <c r="AM170" i="2"/>
  <c r="AN170" i="2" s="1"/>
  <c r="AO170" i="2" s="1"/>
  <c r="AP170" i="2" s="1"/>
  <c r="AQ170" i="2" s="1"/>
  <c r="AR170" i="2" s="1"/>
  <c r="AS170" i="2" s="1"/>
  <c r="AL170" i="2"/>
  <c r="AL169" i="2"/>
  <c r="AM169" i="2" s="1"/>
  <c r="AN169" i="2" s="1"/>
  <c r="AO169" i="2" s="1"/>
  <c r="AP169" i="2" s="1"/>
  <c r="AQ169" i="2" s="1"/>
  <c r="AR169" i="2" s="1"/>
  <c r="AS169" i="2" s="1"/>
  <c r="AK169" i="2"/>
  <c r="AK168" i="2"/>
  <c r="AL168" i="2" s="1"/>
  <c r="AM168" i="2" s="1"/>
  <c r="AN168" i="2" s="1"/>
  <c r="AO168" i="2" s="1"/>
  <c r="AP168" i="2" s="1"/>
  <c r="AQ168" i="2" s="1"/>
  <c r="AR168" i="2" s="1"/>
  <c r="AS168" i="2" s="1"/>
  <c r="AJ168" i="2"/>
  <c r="AJ167" i="2"/>
  <c r="AK167" i="2" s="1"/>
  <c r="AL167" i="2" s="1"/>
  <c r="AM167" i="2" s="1"/>
  <c r="AN167" i="2" s="1"/>
  <c r="AO167" i="2" s="1"/>
  <c r="AP167" i="2" s="1"/>
  <c r="AQ167" i="2" s="1"/>
  <c r="AR167" i="2" s="1"/>
  <c r="AS167" i="2" s="1"/>
  <c r="AI167" i="2"/>
  <c r="AI166" i="2"/>
  <c r="AH166" i="2"/>
  <c r="AH165" i="2"/>
  <c r="AI165" i="2" s="1"/>
  <c r="AJ165" i="2" s="1"/>
  <c r="AK165" i="2" s="1"/>
  <c r="AL165" i="2" s="1"/>
  <c r="AM165" i="2" s="1"/>
  <c r="AN165" i="2" s="1"/>
  <c r="AO165" i="2" s="1"/>
  <c r="AP165" i="2" s="1"/>
  <c r="AQ165" i="2" s="1"/>
  <c r="AR165" i="2" s="1"/>
  <c r="AS165" i="2" s="1"/>
  <c r="AG165" i="2"/>
  <c r="AG164" i="2"/>
  <c r="AH164" i="2" s="1"/>
  <c r="AI164" i="2" s="1"/>
  <c r="AJ164" i="2" s="1"/>
  <c r="AK164" i="2" s="1"/>
  <c r="AL164" i="2" s="1"/>
  <c r="AM164" i="2" s="1"/>
  <c r="AN164" i="2" s="1"/>
  <c r="AO164" i="2" s="1"/>
  <c r="AP164" i="2" s="1"/>
  <c r="AQ164" i="2" s="1"/>
  <c r="AR164" i="2" s="1"/>
  <c r="AS164" i="2" s="1"/>
  <c r="AF164" i="2"/>
  <c r="AF163" i="2"/>
  <c r="AG163" i="2" s="1"/>
  <c r="AH163" i="2" s="1"/>
  <c r="AI163" i="2" s="1"/>
  <c r="AJ163" i="2" s="1"/>
  <c r="AK163" i="2" s="1"/>
  <c r="AL163" i="2" s="1"/>
  <c r="AM163" i="2" s="1"/>
  <c r="AN163" i="2" s="1"/>
  <c r="AO163" i="2" s="1"/>
  <c r="AP163" i="2" s="1"/>
  <c r="AQ163" i="2" s="1"/>
  <c r="AR163" i="2" s="1"/>
  <c r="AS163" i="2" s="1"/>
  <c r="AE163" i="2"/>
  <c r="AE162" i="2"/>
  <c r="AF162" i="2" s="1"/>
  <c r="AG162" i="2" s="1"/>
  <c r="AH162" i="2" s="1"/>
  <c r="AI162" i="2" s="1"/>
  <c r="AJ162" i="2" s="1"/>
  <c r="AK162" i="2" s="1"/>
  <c r="AL162" i="2" s="1"/>
  <c r="AM162" i="2" s="1"/>
  <c r="AN162" i="2" s="1"/>
  <c r="AO162" i="2" s="1"/>
  <c r="AP162" i="2" s="1"/>
  <c r="AQ162" i="2" s="1"/>
  <c r="AR162" i="2" s="1"/>
  <c r="AS162" i="2" s="1"/>
  <c r="AD162" i="2"/>
  <c r="AD161" i="2"/>
  <c r="AE161" i="2" s="1"/>
  <c r="AF161" i="2" s="1"/>
  <c r="AG161" i="2" s="1"/>
  <c r="AH161" i="2" s="1"/>
  <c r="AI161" i="2" s="1"/>
  <c r="AJ161" i="2" s="1"/>
  <c r="AK161" i="2" s="1"/>
  <c r="AL161" i="2" s="1"/>
  <c r="AM161" i="2" s="1"/>
  <c r="AN161" i="2" s="1"/>
  <c r="AO161" i="2" s="1"/>
  <c r="AP161" i="2" s="1"/>
  <c r="AQ161" i="2" s="1"/>
  <c r="AR161" i="2" s="1"/>
  <c r="AS161" i="2" s="1"/>
  <c r="AC161" i="2"/>
  <c r="AC160" i="2"/>
  <c r="AD160" i="2" s="1"/>
  <c r="AE160" i="2" s="1"/>
  <c r="AF160" i="2" s="1"/>
  <c r="AG160" i="2" s="1"/>
  <c r="AH160" i="2" s="1"/>
  <c r="AI160" i="2" s="1"/>
  <c r="AJ160" i="2" s="1"/>
  <c r="AK160" i="2" s="1"/>
  <c r="AL160" i="2" s="1"/>
  <c r="AM160" i="2" s="1"/>
  <c r="AN160" i="2" s="1"/>
  <c r="AO160" i="2" s="1"/>
  <c r="AP160" i="2" s="1"/>
  <c r="AQ160" i="2" s="1"/>
  <c r="AR160" i="2" s="1"/>
  <c r="AS160" i="2" s="1"/>
  <c r="AB160" i="2"/>
  <c r="AB159" i="2"/>
  <c r="AC159" i="2" s="1"/>
  <c r="AD159" i="2" s="1"/>
  <c r="AE159" i="2" s="1"/>
  <c r="AF159" i="2" s="1"/>
  <c r="AG159" i="2" s="1"/>
  <c r="AH159" i="2" s="1"/>
  <c r="AI159" i="2" s="1"/>
  <c r="AJ159" i="2" s="1"/>
  <c r="AK159" i="2" s="1"/>
  <c r="AL159" i="2" s="1"/>
  <c r="AM159" i="2" s="1"/>
  <c r="AN159" i="2" s="1"/>
  <c r="AO159" i="2" s="1"/>
  <c r="AP159" i="2" s="1"/>
  <c r="AQ159" i="2" s="1"/>
  <c r="AR159" i="2" s="1"/>
  <c r="AS159" i="2" s="1"/>
  <c r="AA159" i="2"/>
  <c r="AA158" i="2"/>
  <c r="AB158" i="2" s="1"/>
  <c r="AC158" i="2" s="1"/>
  <c r="AD158" i="2" s="1"/>
  <c r="AE158" i="2" s="1"/>
  <c r="AF158" i="2" s="1"/>
  <c r="AG158" i="2" s="1"/>
  <c r="AH158" i="2" s="1"/>
  <c r="AI158" i="2" s="1"/>
  <c r="AJ158" i="2" s="1"/>
  <c r="AK158" i="2" s="1"/>
  <c r="AL158" i="2" s="1"/>
  <c r="AM158" i="2" s="1"/>
  <c r="AN158" i="2" s="1"/>
  <c r="AO158" i="2" s="1"/>
  <c r="AP158" i="2" s="1"/>
  <c r="AQ158" i="2" s="1"/>
  <c r="AR158" i="2" s="1"/>
  <c r="AS158" i="2" s="1"/>
  <c r="Z158" i="2"/>
  <c r="Z157" i="2"/>
  <c r="AA157" i="2" s="1"/>
  <c r="AB157" i="2" s="1"/>
  <c r="AC157" i="2" s="1"/>
  <c r="AD157" i="2" s="1"/>
  <c r="AE157" i="2" s="1"/>
  <c r="AF157" i="2" s="1"/>
  <c r="AG157" i="2" s="1"/>
  <c r="AH157" i="2" s="1"/>
  <c r="AI157" i="2" s="1"/>
  <c r="AJ157" i="2" s="1"/>
  <c r="AK157" i="2" s="1"/>
  <c r="AL157" i="2" s="1"/>
  <c r="AM157" i="2" s="1"/>
  <c r="AN157" i="2" s="1"/>
  <c r="AO157" i="2" s="1"/>
  <c r="AP157" i="2" s="1"/>
  <c r="AQ157" i="2" s="1"/>
  <c r="AR157" i="2" s="1"/>
  <c r="AS157" i="2" s="1"/>
  <c r="Y157" i="2"/>
  <c r="Y156" i="2"/>
  <c r="Z156" i="2" s="1"/>
  <c r="AA156" i="2" s="1"/>
  <c r="AB156" i="2" s="1"/>
  <c r="AC156" i="2" s="1"/>
  <c r="AD156" i="2" s="1"/>
  <c r="AE156" i="2" s="1"/>
  <c r="AF156" i="2" s="1"/>
  <c r="AG156" i="2" s="1"/>
  <c r="AH156" i="2" s="1"/>
  <c r="AI156" i="2" s="1"/>
  <c r="AJ156" i="2" s="1"/>
  <c r="AK156" i="2" s="1"/>
  <c r="AL156" i="2" s="1"/>
  <c r="AM156" i="2" s="1"/>
  <c r="AN156" i="2" s="1"/>
  <c r="AO156" i="2" s="1"/>
  <c r="AP156" i="2" s="1"/>
  <c r="AQ156" i="2" s="1"/>
  <c r="AR156" i="2" s="1"/>
  <c r="AS156" i="2" s="1"/>
  <c r="X156" i="2"/>
  <c r="X155" i="2"/>
  <c r="W155" i="2"/>
  <c r="W100" i="2" s="1"/>
  <c r="AH154" i="2"/>
  <c r="AI154" i="2" s="1"/>
  <c r="AJ154" i="2" s="1"/>
  <c r="AK154" i="2" s="1"/>
  <c r="AL154" i="2" s="1"/>
  <c r="AM154" i="2" s="1"/>
  <c r="AN154" i="2" s="1"/>
  <c r="AO154" i="2" s="1"/>
  <c r="AP154" i="2" s="1"/>
  <c r="AQ154" i="2" s="1"/>
  <c r="AR154" i="2" s="1"/>
  <c r="AS154" i="2" s="1"/>
  <c r="AG154" i="2"/>
  <c r="AG153" i="2"/>
  <c r="AH153" i="2" s="1"/>
  <c r="AI153" i="2" s="1"/>
  <c r="AJ153" i="2" s="1"/>
  <c r="AK153" i="2" s="1"/>
  <c r="AL153" i="2" s="1"/>
  <c r="AM153" i="2" s="1"/>
  <c r="AN153" i="2" s="1"/>
  <c r="AO153" i="2" s="1"/>
  <c r="AP153" i="2" s="1"/>
  <c r="AQ153" i="2" s="1"/>
  <c r="AR153" i="2" s="1"/>
  <c r="AS153" i="2" s="1"/>
  <c r="AF153" i="2"/>
  <c r="AF152" i="2"/>
  <c r="AG152" i="2" s="1"/>
  <c r="AH152" i="2" s="1"/>
  <c r="AI152" i="2" s="1"/>
  <c r="AJ152" i="2" s="1"/>
  <c r="AK152" i="2" s="1"/>
  <c r="AL152" i="2" s="1"/>
  <c r="AM152" i="2" s="1"/>
  <c r="AN152" i="2" s="1"/>
  <c r="AO152" i="2" s="1"/>
  <c r="AP152" i="2" s="1"/>
  <c r="AQ152" i="2" s="1"/>
  <c r="AR152" i="2" s="1"/>
  <c r="AS152" i="2" s="1"/>
  <c r="AE152" i="2"/>
  <c r="AE151" i="2"/>
  <c r="AF151" i="2" s="1"/>
  <c r="AG151" i="2" s="1"/>
  <c r="AD151" i="2"/>
  <c r="AE150" i="2"/>
  <c r="AF150" i="2" s="1"/>
  <c r="AG150" i="2" s="1"/>
  <c r="AH150" i="2" s="1"/>
  <c r="AI150" i="2" s="1"/>
  <c r="AJ150" i="2" s="1"/>
  <c r="AK150" i="2" s="1"/>
  <c r="AL150" i="2" s="1"/>
  <c r="AM150" i="2" s="1"/>
  <c r="AN150" i="2" s="1"/>
  <c r="AO150" i="2" s="1"/>
  <c r="AP150" i="2" s="1"/>
  <c r="AQ150" i="2" s="1"/>
  <c r="AR150" i="2" s="1"/>
  <c r="AS150" i="2" s="1"/>
  <c r="AD150" i="2"/>
  <c r="AC150" i="2"/>
  <c r="AC149" i="2"/>
  <c r="AD149" i="2" s="1"/>
  <c r="AB149" i="2"/>
  <c r="AB106" i="2" s="1"/>
  <c r="AI148" i="2"/>
  <c r="AJ148" i="2" s="1"/>
  <c r="AK148" i="2" s="1"/>
  <c r="AL148" i="2" s="1"/>
  <c r="AM148" i="2" s="1"/>
  <c r="AN148" i="2" s="1"/>
  <c r="AO148" i="2" s="1"/>
  <c r="AP148" i="2" s="1"/>
  <c r="AQ148" i="2" s="1"/>
  <c r="AR148" i="2" s="1"/>
  <c r="AS148" i="2" s="1"/>
  <c r="AH148" i="2"/>
  <c r="AH147" i="2"/>
  <c r="AI147" i="2" s="1"/>
  <c r="AG147" i="2"/>
  <c r="AF145" i="2"/>
  <c r="AG145" i="2" s="1"/>
  <c r="AH145" i="2" s="1"/>
  <c r="AI145" i="2" s="1"/>
  <c r="AJ145" i="2" s="1"/>
  <c r="AK145" i="2" s="1"/>
  <c r="AL145" i="2" s="1"/>
  <c r="AM145" i="2" s="1"/>
  <c r="AN145" i="2" s="1"/>
  <c r="AO145" i="2" s="1"/>
  <c r="AP145" i="2" s="1"/>
  <c r="AQ145" i="2" s="1"/>
  <c r="AR145" i="2" s="1"/>
  <c r="AS145" i="2" s="1"/>
  <c r="AE145" i="2"/>
  <c r="AT145" i="2" s="1"/>
  <c r="AE144" i="2"/>
  <c r="AF144" i="2" s="1"/>
  <c r="AG144" i="2" s="1"/>
  <c r="AH144" i="2" s="1"/>
  <c r="AI144" i="2" s="1"/>
  <c r="AJ144" i="2" s="1"/>
  <c r="AK144" i="2" s="1"/>
  <c r="AL144" i="2" s="1"/>
  <c r="AM144" i="2" s="1"/>
  <c r="AN144" i="2" s="1"/>
  <c r="AO144" i="2" s="1"/>
  <c r="AP144" i="2" s="1"/>
  <c r="AQ144" i="2" s="1"/>
  <c r="AR144" i="2" s="1"/>
  <c r="AS144" i="2" s="1"/>
  <c r="AD144" i="2"/>
  <c r="AE143" i="2"/>
  <c r="AF143" i="2" s="1"/>
  <c r="AG143" i="2" s="1"/>
  <c r="AH143" i="2" s="1"/>
  <c r="AI143" i="2" s="1"/>
  <c r="AJ143" i="2" s="1"/>
  <c r="AK143" i="2" s="1"/>
  <c r="AL143" i="2" s="1"/>
  <c r="AM143" i="2" s="1"/>
  <c r="AN143" i="2" s="1"/>
  <c r="AO143" i="2" s="1"/>
  <c r="AP143" i="2" s="1"/>
  <c r="AQ143" i="2" s="1"/>
  <c r="AR143" i="2" s="1"/>
  <c r="AS143" i="2" s="1"/>
  <c r="AD143" i="2"/>
  <c r="AC143" i="2"/>
  <c r="AE142" i="2"/>
  <c r="AC142" i="2"/>
  <c r="AD142" i="2" s="1"/>
  <c r="AB142" i="2"/>
  <c r="AB108" i="2" s="1"/>
  <c r="AN136" i="2"/>
  <c r="AN135" i="2"/>
  <c r="AO135" i="2" s="1"/>
  <c r="AP135" i="2" s="1"/>
  <c r="AQ135" i="2" s="1"/>
  <c r="AR135" i="2" s="1"/>
  <c r="AS135" i="2" s="1"/>
  <c r="AM135" i="2"/>
  <c r="AM134" i="2"/>
  <c r="AN134" i="2" s="1"/>
  <c r="AO134" i="2" s="1"/>
  <c r="AP134" i="2" s="1"/>
  <c r="AQ134" i="2" s="1"/>
  <c r="AR134" i="2" s="1"/>
  <c r="AS134" i="2" s="1"/>
  <c r="AL134" i="2"/>
  <c r="AL133" i="2"/>
  <c r="AM133" i="2" s="1"/>
  <c r="AN133" i="2" s="1"/>
  <c r="AO133" i="2" s="1"/>
  <c r="AP133" i="2" s="1"/>
  <c r="AQ133" i="2" s="1"/>
  <c r="AR133" i="2" s="1"/>
  <c r="AS133" i="2" s="1"/>
  <c r="AK133" i="2"/>
  <c r="AK132" i="2"/>
  <c r="AL132" i="2" s="1"/>
  <c r="AM132" i="2" s="1"/>
  <c r="AN132" i="2" s="1"/>
  <c r="AO132" i="2" s="1"/>
  <c r="AP132" i="2" s="1"/>
  <c r="AQ132" i="2" s="1"/>
  <c r="AR132" i="2" s="1"/>
  <c r="AS132" i="2" s="1"/>
  <c r="AJ132" i="2"/>
  <c r="AJ131" i="2"/>
  <c r="AK131" i="2" s="1"/>
  <c r="AL131" i="2" s="1"/>
  <c r="AI131" i="2"/>
  <c r="AI130" i="2"/>
  <c r="AJ130" i="2" s="1"/>
  <c r="AK130" i="2" s="1"/>
  <c r="AL130" i="2" s="1"/>
  <c r="AM130" i="2" s="1"/>
  <c r="AN130" i="2" s="1"/>
  <c r="AO130" i="2" s="1"/>
  <c r="AP130" i="2" s="1"/>
  <c r="AQ130" i="2" s="1"/>
  <c r="AR130" i="2" s="1"/>
  <c r="AS130" i="2" s="1"/>
  <c r="AH130" i="2"/>
  <c r="AH129" i="2"/>
  <c r="AI129" i="2" s="1"/>
  <c r="AJ129" i="2" s="1"/>
  <c r="AK129" i="2" s="1"/>
  <c r="AL129" i="2" s="1"/>
  <c r="AM129" i="2" s="1"/>
  <c r="AN129" i="2" s="1"/>
  <c r="AO129" i="2" s="1"/>
  <c r="AP129" i="2" s="1"/>
  <c r="AQ129" i="2" s="1"/>
  <c r="AR129" i="2" s="1"/>
  <c r="AS129" i="2" s="1"/>
  <c r="AG129" i="2"/>
  <c r="AG128" i="2"/>
  <c r="AH128" i="2" s="1"/>
  <c r="AI128" i="2" s="1"/>
  <c r="AJ128" i="2" s="1"/>
  <c r="AK128" i="2" s="1"/>
  <c r="AL128" i="2" s="1"/>
  <c r="AM128" i="2" s="1"/>
  <c r="AN128" i="2" s="1"/>
  <c r="AO128" i="2" s="1"/>
  <c r="AP128" i="2" s="1"/>
  <c r="AQ128" i="2" s="1"/>
  <c r="AR128" i="2" s="1"/>
  <c r="AS128" i="2" s="1"/>
  <c r="AF128" i="2"/>
  <c r="AF127" i="2"/>
  <c r="AG127" i="2" s="1"/>
  <c r="AH127" i="2" s="1"/>
  <c r="AI127" i="2" s="1"/>
  <c r="AJ127" i="2" s="1"/>
  <c r="AK127" i="2" s="1"/>
  <c r="AL127" i="2" s="1"/>
  <c r="AM127" i="2" s="1"/>
  <c r="AN127" i="2" s="1"/>
  <c r="AO127" i="2" s="1"/>
  <c r="AP127" i="2" s="1"/>
  <c r="AQ127" i="2" s="1"/>
  <c r="AR127" i="2" s="1"/>
  <c r="AS127" i="2" s="1"/>
  <c r="AE127" i="2"/>
  <c r="AE126" i="2"/>
  <c r="AF126" i="2" s="1"/>
  <c r="AG126" i="2" s="1"/>
  <c r="AH126" i="2" s="1"/>
  <c r="AI126" i="2" s="1"/>
  <c r="AJ126" i="2" s="1"/>
  <c r="AK126" i="2" s="1"/>
  <c r="AL126" i="2" s="1"/>
  <c r="AM126" i="2" s="1"/>
  <c r="AN126" i="2" s="1"/>
  <c r="AO126" i="2" s="1"/>
  <c r="AP126" i="2" s="1"/>
  <c r="AQ126" i="2" s="1"/>
  <c r="AR126" i="2" s="1"/>
  <c r="AS126" i="2" s="1"/>
  <c r="AD126" i="2"/>
  <c r="AE125" i="2"/>
  <c r="AF125" i="2" s="1"/>
  <c r="AG125" i="2" s="1"/>
  <c r="AH125" i="2" s="1"/>
  <c r="AI125" i="2" s="1"/>
  <c r="AJ125" i="2" s="1"/>
  <c r="AK125" i="2" s="1"/>
  <c r="AL125" i="2" s="1"/>
  <c r="AM125" i="2" s="1"/>
  <c r="AN125" i="2" s="1"/>
  <c r="AO125" i="2" s="1"/>
  <c r="AP125" i="2" s="1"/>
  <c r="AQ125" i="2" s="1"/>
  <c r="AR125" i="2" s="1"/>
  <c r="AS125" i="2" s="1"/>
  <c r="AD125" i="2"/>
  <c r="AC125" i="2"/>
  <c r="AE124" i="2"/>
  <c r="AD124" i="2"/>
  <c r="AC124" i="2"/>
  <c r="AB124" i="2"/>
  <c r="AB104" i="2" s="1"/>
  <c r="AB123" i="2"/>
  <c r="AC123" i="2" s="1"/>
  <c r="AD123" i="2" s="1"/>
  <c r="AE123" i="2" s="1"/>
  <c r="AF123" i="2" s="1"/>
  <c r="AG123" i="2" s="1"/>
  <c r="AH123" i="2" s="1"/>
  <c r="AI123" i="2" s="1"/>
  <c r="AJ123" i="2" s="1"/>
  <c r="AK123" i="2" s="1"/>
  <c r="AL123" i="2" s="1"/>
  <c r="AM123" i="2" s="1"/>
  <c r="AN123" i="2" s="1"/>
  <c r="AO123" i="2" s="1"/>
  <c r="AP123" i="2" s="1"/>
  <c r="AQ123" i="2" s="1"/>
  <c r="AR123" i="2" s="1"/>
  <c r="AS123" i="2" s="1"/>
  <c r="AA123" i="2"/>
  <c r="AT123" i="2" s="1"/>
  <c r="AA122" i="2"/>
  <c r="AB122" i="2" s="1"/>
  <c r="AC122" i="2" s="1"/>
  <c r="AD122" i="2" s="1"/>
  <c r="AE122" i="2" s="1"/>
  <c r="AF122" i="2" s="1"/>
  <c r="AG122" i="2" s="1"/>
  <c r="AH122" i="2" s="1"/>
  <c r="AI122" i="2" s="1"/>
  <c r="AJ122" i="2" s="1"/>
  <c r="AK122" i="2" s="1"/>
  <c r="AL122" i="2" s="1"/>
  <c r="AM122" i="2" s="1"/>
  <c r="AN122" i="2" s="1"/>
  <c r="AO122" i="2" s="1"/>
  <c r="AP122" i="2" s="1"/>
  <c r="AQ122" i="2" s="1"/>
  <c r="AR122" i="2" s="1"/>
  <c r="AS122" i="2" s="1"/>
  <c r="Z122" i="2"/>
  <c r="Z121" i="2"/>
  <c r="AA121" i="2" s="1"/>
  <c r="AB121" i="2" s="1"/>
  <c r="AC121" i="2" s="1"/>
  <c r="AD121" i="2" s="1"/>
  <c r="AE121" i="2" s="1"/>
  <c r="AF121" i="2" s="1"/>
  <c r="AG121" i="2" s="1"/>
  <c r="AH121" i="2" s="1"/>
  <c r="AI121" i="2" s="1"/>
  <c r="AJ121" i="2" s="1"/>
  <c r="AK121" i="2" s="1"/>
  <c r="AL121" i="2" s="1"/>
  <c r="AM121" i="2" s="1"/>
  <c r="AN121" i="2" s="1"/>
  <c r="AO121" i="2" s="1"/>
  <c r="AP121" i="2" s="1"/>
  <c r="AQ121" i="2" s="1"/>
  <c r="AR121" i="2" s="1"/>
  <c r="AS121" i="2" s="1"/>
  <c r="Y121" i="2"/>
  <c r="Y120" i="2"/>
  <c r="Z120" i="2" s="1"/>
  <c r="AA120" i="2" s="1"/>
  <c r="AB120" i="2" s="1"/>
  <c r="AC120" i="2" s="1"/>
  <c r="AD120" i="2" s="1"/>
  <c r="AE120" i="2" s="1"/>
  <c r="AF120" i="2" s="1"/>
  <c r="AG120" i="2" s="1"/>
  <c r="AH120" i="2" s="1"/>
  <c r="AI120" i="2" s="1"/>
  <c r="AJ120" i="2" s="1"/>
  <c r="AK120" i="2" s="1"/>
  <c r="AL120" i="2" s="1"/>
  <c r="AM120" i="2" s="1"/>
  <c r="AN120" i="2" s="1"/>
  <c r="AO120" i="2" s="1"/>
  <c r="AP120" i="2" s="1"/>
  <c r="AQ120" i="2" s="1"/>
  <c r="AR120" i="2" s="1"/>
  <c r="AS120" i="2" s="1"/>
  <c r="X120" i="2"/>
  <c r="X119" i="2"/>
  <c r="W119" i="2"/>
  <c r="W103" i="2" s="1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C95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C94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C93" i="2"/>
  <c r="D93" i="2" s="1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C92" i="2"/>
  <c r="D92" i="2" s="1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C91" i="2"/>
  <c r="D91" i="2" s="1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C90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C89" i="2"/>
  <c r="P88" i="2"/>
  <c r="O88" i="2"/>
  <c r="N88" i="2"/>
  <c r="M88" i="2"/>
  <c r="L88" i="2"/>
  <c r="K88" i="2"/>
  <c r="J88" i="2"/>
  <c r="I88" i="2"/>
  <c r="H88" i="2"/>
  <c r="G88" i="2"/>
  <c r="F88" i="2"/>
  <c r="E88" i="2"/>
  <c r="C88" i="2"/>
  <c r="D88" i="2" s="1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C87" i="2"/>
  <c r="D87" i="2" s="1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C85" i="2"/>
  <c r="D85" i="2" s="1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C84" i="2"/>
  <c r="D84" i="2" s="1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C83" i="2"/>
  <c r="D83" i="2" s="1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C82" i="2"/>
  <c r="D82" i="2" s="1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C81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K32" i="2"/>
  <c r="BJ32" i="2"/>
  <c r="BI32" i="2"/>
  <c r="BH32" i="2"/>
  <c r="BG32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BK30" i="2"/>
  <c r="BJ30" i="2"/>
  <c r="BI30" i="2"/>
  <c r="BH30" i="2"/>
  <c r="BG30" i="2"/>
  <c r="BF30" i="2"/>
  <c r="BD30" i="2"/>
  <c r="BC30" i="2"/>
  <c r="BB30" i="2"/>
  <c r="BA30" i="2"/>
  <c r="BK29" i="2"/>
  <c r="BJ29" i="2"/>
  <c r="BI29" i="2"/>
  <c r="BH29" i="2"/>
  <c r="BG29" i="2"/>
  <c r="BF29" i="2"/>
  <c r="BE29" i="2"/>
  <c r="BD29" i="2"/>
  <c r="BC29" i="2"/>
  <c r="BB29" i="2"/>
  <c r="BA29" i="2"/>
  <c r="BK28" i="2"/>
  <c r="BJ28" i="2"/>
  <c r="BI28" i="2"/>
  <c r="BH28" i="2"/>
  <c r="BG28" i="2"/>
  <c r="BF28" i="2"/>
  <c r="BE28" i="2"/>
  <c r="BD28" i="2"/>
  <c r="BC28" i="2"/>
  <c r="BB28" i="2"/>
  <c r="BA28" i="2"/>
  <c r="AG25" i="2"/>
  <c r="AF25" i="2"/>
  <c r="AE25" i="2"/>
  <c r="AF59" i="2" s="1"/>
  <c r="AG59" i="2" s="1"/>
  <c r="AH59" i="2" s="1"/>
  <c r="AI59" i="2" s="1"/>
  <c r="AJ59" i="2" s="1"/>
  <c r="AK59" i="2" s="1"/>
  <c r="AL59" i="2" s="1"/>
  <c r="AM59" i="2" s="1"/>
  <c r="AN59" i="2" s="1"/>
  <c r="AO59" i="2" s="1"/>
  <c r="AP59" i="2" s="1"/>
  <c r="AK24" i="2"/>
  <c r="AT24" i="2" s="1"/>
  <c r="AT23" i="2"/>
  <c r="AT22" i="2"/>
  <c r="AT21" i="2"/>
  <c r="AT20" i="2"/>
  <c r="AT19" i="2"/>
  <c r="AT18" i="2"/>
  <c r="AW17" i="2"/>
  <c r="Q17" i="2"/>
  <c r="AT17" i="2" s="1"/>
  <c r="A17" i="2"/>
  <c r="AW16" i="2"/>
  <c r="AK16" i="2"/>
  <c r="AT16" i="2" s="1"/>
  <c r="AW15" i="2"/>
  <c r="A15" i="2"/>
  <c r="AW14" i="2"/>
  <c r="AK14" i="2"/>
  <c r="AT14" i="2" s="1"/>
  <c r="AN13" i="2"/>
  <c r="AM13" i="2"/>
  <c r="AM25" i="2" s="1"/>
  <c r="AL13" i="2"/>
  <c r="AI13" i="2"/>
  <c r="AH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J25" i="2" s="1"/>
  <c r="I13" i="2"/>
  <c r="H13" i="2"/>
  <c r="G13" i="2"/>
  <c r="G25" i="2" s="1"/>
  <c r="F13" i="2"/>
  <c r="E13" i="2"/>
  <c r="D13" i="2"/>
  <c r="D25" i="2" s="1"/>
  <c r="C13" i="2"/>
  <c r="AW12" i="2"/>
  <c r="AK12" i="2"/>
  <c r="AT12" i="2" s="1"/>
  <c r="A12" i="2"/>
  <c r="AW11" i="2"/>
  <c r="A11" i="2"/>
  <c r="AW10" i="2"/>
  <c r="AK10" i="2"/>
  <c r="AT10" i="2" s="1"/>
  <c r="AW9" i="2"/>
  <c r="AK9" i="2"/>
  <c r="AT9" i="2" s="1"/>
  <c r="AW8" i="2"/>
  <c r="AK8" i="2"/>
  <c r="AT8" i="2" s="1"/>
  <c r="AJ7" i="2"/>
  <c r="AJ25" i="2" s="1"/>
  <c r="AI7" i="2"/>
  <c r="AH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AW6" i="2"/>
  <c r="AK6" i="2"/>
  <c r="AT6" i="2" s="1"/>
  <c r="U24" i="6" l="1"/>
  <c r="J24" i="6"/>
  <c r="AI47" i="6"/>
  <c r="K24" i="6"/>
  <c r="X24" i="6"/>
  <c r="L24" i="6"/>
  <c r="H24" i="6"/>
  <c r="AJ53" i="6"/>
  <c r="G24" i="6"/>
  <c r="AI24" i="6"/>
  <c r="AJ24" i="6"/>
  <c r="R24" i="6"/>
  <c r="AT122" i="2"/>
  <c r="AS165" i="3"/>
  <c r="Q24" i="6"/>
  <c r="AC24" i="6"/>
  <c r="AJ71" i="6"/>
  <c r="AJ44" i="7"/>
  <c r="AU6" i="8"/>
  <c r="AR172" i="3"/>
  <c r="AR95" i="3" s="1"/>
  <c r="AS95" i="3" s="1"/>
  <c r="P24" i="6"/>
  <c r="AD3" i="5"/>
  <c r="AS12" i="6"/>
  <c r="P71" i="6"/>
  <c r="AG71" i="6"/>
  <c r="AU12" i="8"/>
  <c r="F14" i="1"/>
  <c r="AN26" i="5"/>
  <c r="AN30" i="5"/>
  <c r="AW11" i="8"/>
  <c r="T24" i="6"/>
  <c r="AS35" i="6"/>
  <c r="AT12" i="8"/>
  <c r="AS41" i="8"/>
  <c r="AT6" i="8"/>
  <c r="AL3" i="4"/>
  <c r="AB3" i="5"/>
  <c r="AN10" i="5"/>
  <c r="AN31" i="5"/>
  <c r="V24" i="6"/>
  <c r="AC3" i="5"/>
  <c r="W24" i="6"/>
  <c r="AT136" i="2"/>
  <c r="AE3" i="5"/>
  <c r="AS51" i="8"/>
  <c r="AS135" i="3"/>
  <c r="AS152" i="3"/>
  <c r="AS175" i="3"/>
  <c r="AG47" i="6"/>
  <c r="AI3" i="4"/>
  <c r="AK3" i="4"/>
  <c r="F28" i="1"/>
  <c r="AN6" i="4"/>
  <c r="AG3" i="4"/>
  <c r="AJ3" i="4"/>
  <c r="AN8" i="4"/>
  <c r="AT185" i="2"/>
  <c r="AT120" i="2"/>
  <c r="AT176" i="2"/>
  <c r="AT187" i="2"/>
  <c r="AT140" i="2"/>
  <c r="AT121" i="2"/>
  <c r="AT138" i="2"/>
  <c r="AT173" i="2"/>
  <c r="AT139" i="2"/>
  <c r="AT168" i="2"/>
  <c r="AT150" i="2"/>
  <c r="AT127" i="2"/>
  <c r="AT135" i="2"/>
  <c r="AT152" i="2"/>
  <c r="AT156" i="2"/>
  <c r="AT160" i="2"/>
  <c r="AT164" i="2"/>
  <c r="AT174" i="2"/>
  <c r="AT137" i="2"/>
  <c r="AT125" i="2"/>
  <c r="AT175" i="2"/>
  <c r="AT148" i="2"/>
  <c r="AT144" i="2"/>
  <c r="AT182" i="2"/>
  <c r="AT128" i="2"/>
  <c r="AT132" i="2"/>
  <c r="AT153" i="2"/>
  <c r="AT157" i="2"/>
  <c r="AT161" i="2"/>
  <c r="AT165" i="2"/>
  <c r="AT169" i="2"/>
  <c r="AT129" i="2"/>
  <c r="AT133" i="2"/>
  <c r="AT154" i="2"/>
  <c r="AT158" i="2"/>
  <c r="AT162" i="2"/>
  <c r="AT170" i="2"/>
  <c r="AT184" i="2"/>
  <c r="AS186" i="2"/>
  <c r="AT186" i="2" s="1"/>
  <c r="AT126" i="2"/>
  <c r="AT130" i="2"/>
  <c r="AT134" i="2"/>
  <c r="AT143" i="2"/>
  <c r="AT159" i="2"/>
  <c r="AT163" i="2"/>
  <c r="AT167" i="2"/>
  <c r="AT171" i="2"/>
  <c r="AP180" i="2"/>
  <c r="AQ180" i="2" s="1"/>
  <c r="AR180" i="2" s="1"/>
  <c r="AS180" i="2" s="1"/>
  <c r="AJ166" i="2"/>
  <c r="AK166" i="2" s="1"/>
  <c r="AL166" i="2" s="1"/>
  <c r="AM166" i="2" s="1"/>
  <c r="AN166" i="2" s="1"/>
  <c r="AO166" i="2" s="1"/>
  <c r="AP166" i="2" s="1"/>
  <c r="AR188" i="2"/>
  <c r="AS188" i="2"/>
  <c r="AS6" i="8"/>
  <c r="AS12" i="8"/>
  <c r="AW12" i="8" s="1"/>
  <c r="AS16" i="8"/>
  <c r="F23" i="1" s="1"/>
  <c r="E47" i="7"/>
  <c r="AS35" i="7"/>
  <c r="BL50" i="7"/>
  <c r="AN16" i="7"/>
  <c r="AG44" i="7"/>
  <c r="AS6" i="7"/>
  <c r="AL16" i="7"/>
  <c r="AM16" i="7"/>
  <c r="AQ30" i="7"/>
  <c r="AO30" i="7"/>
  <c r="AR44" i="7"/>
  <c r="AO44" i="7"/>
  <c r="AS40" i="7"/>
  <c r="BD49" i="7"/>
  <c r="BL49" i="7" s="1"/>
  <c r="AS10" i="7"/>
  <c r="G25" i="1" s="1"/>
  <c r="AN18" i="7"/>
  <c r="AR30" i="7"/>
  <c r="AM44" i="7"/>
  <c r="AP44" i="7"/>
  <c r="AP16" i="7"/>
  <c r="AO18" i="7"/>
  <c r="AS21" i="7"/>
  <c r="H24" i="1" s="1"/>
  <c r="AN44" i="7"/>
  <c r="AQ44" i="7"/>
  <c r="BH49" i="7"/>
  <c r="AS20" i="7"/>
  <c r="AS25" i="7"/>
  <c r="AS15" i="7"/>
  <c r="AP18" i="7"/>
  <c r="AN30" i="7"/>
  <c r="AS24" i="7"/>
  <c r="H25" i="1" s="1"/>
  <c r="AS26" i="7"/>
  <c r="H23" i="1" s="1"/>
  <c r="AS29" i="7"/>
  <c r="AS38" i="7"/>
  <c r="L44" i="7"/>
  <c r="L47" i="7" s="1"/>
  <c r="O24" i="6"/>
  <c r="AS61" i="6"/>
  <c r="AP6" i="6"/>
  <c r="AP24" i="6" s="1"/>
  <c r="AQ26" i="6"/>
  <c r="AO71" i="6"/>
  <c r="AS53" i="6"/>
  <c r="N59" i="6"/>
  <c r="AS59" i="6" s="1"/>
  <c r="AQ6" i="6"/>
  <c r="AQ24" i="6" s="1"/>
  <c r="AS15" i="6"/>
  <c r="G17" i="1" s="1"/>
  <c r="AS30" i="6"/>
  <c r="AN71" i="6"/>
  <c r="Y71" i="6"/>
  <c r="AR6" i="6"/>
  <c r="AM47" i="6"/>
  <c r="AS29" i="6"/>
  <c r="H16" i="1" s="1"/>
  <c r="B71" i="6"/>
  <c r="AL26" i="6"/>
  <c r="AR71" i="6"/>
  <c r="AL6" i="6"/>
  <c r="AS11" i="6"/>
  <c r="G14" i="1" s="1"/>
  <c r="AM26" i="6"/>
  <c r="AO47" i="6"/>
  <c r="AS38" i="6"/>
  <c r="H17" i="1" s="1"/>
  <c r="AS58" i="6"/>
  <c r="AO24" i="6"/>
  <c r="AM6" i="6"/>
  <c r="AN26" i="6"/>
  <c r="AS52" i="6"/>
  <c r="AS54" i="6"/>
  <c r="AS57" i="6"/>
  <c r="AN6" i="6"/>
  <c r="AH3" i="5"/>
  <c r="AN29" i="5"/>
  <c r="AN3" i="4"/>
  <c r="AF29" i="4"/>
  <c r="AN29" i="4" s="1"/>
  <c r="AS157" i="3"/>
  <c r="AS143" i="3"/>
  <c r="AS108" i="3"/>
  <c r="AS154" i="3"/>
  <c r="AS163" i="3"/>
  <c r="AS114" i="3"/>
  <c r="AS164" i="3"/>
  <c r="AS156" i="3"/>
  <c r="AS167" i="3"/>
  <c r="AS123" i="3"/>
  <c r="AO124" i="3"/>
  <c r="AP124" i="3" s="1"/>
  <c r="AQ124" i="3" s="1"/>
  <c r="AR124" i="3" s="1"/>
  <c r="AS155" i="3"/>
  <c r="AP150" i="3"/>
  <c r="AQ150" i="3" s="1"/>
  <c r="AR150" i="3" s="1"/>
  <c r="AS122" i="3"/>
  <c r="AO121" i="3"/>
  <c r="AP121" i="3" s="1"/>
  <c r="AQ121" i="3" s="1"/>
  <c r="AR121" i="3" s="1"/>
  <c r="AP134" i="3"/>
  <c r="AQ134" i="3" s="1"/>
  <c r="AR134" i="3" s="1"/>
  <c r="AS162" i="3"/>
  <c r="AS112" i="3"/>
  <c r="AS127" i="3"/>
  <c r="AS115" i="3"/>
  <c r="AO161" i="3"/>
  <c r="AP161" i="3" s="1"/>
  <c r="AQ161" i="3" s="1"/>
  <c r="AR161" i="3" s="1"/>
  <c r="AS107" i="3"/>
  <c r="AS128" i="3"/>
  <c r="AS136" i="3"/>
  <c r="AS137" i="3"/>
  <c r="AP126" i="3"/>
  <c r="AQ126" i="3" s="1"/>
  <c r="AR126" i="3" s="1"/>
  <c r="AS130" i="3"/>
  <c r="AS131" i="3"/>
  <c r="AS132" i="3"/>
  <c r="AS133" i="3"/>
  <c r="AO138" i="3"/>
  <c r="AP138" i="3" s="1"/>
  <c r="AQ138" i="3" s="1"/>
  <c r="AR138" i="3" s="1"/>
  <c r="AS138" i="3" s="1"/>
  <c r="AR169" i="3"/>
  <c r="AS169" i="3" s="1"/>
  <c r="AQ168" i="3"/>
  <c r="AR168" i="3" s="1"/>
  <c r="AP166" i="3"/>
  <c r="AQ166" i="3" s="1"/>
  <c r="AR166" i="3" s="1"/>
  <c r="AP160" i="3"/>
  <c r="AQ146" i="3"/>
  <c r="AR146" i="3" s="1"/>
  <c r="AS146" i="3"/>
  <c r="AS153" i="3"/>
  <c r="AS147" i="3"/>
  <c r="AS148" i="3"/>
  <c r="AS149" i="3"/>
  <c r="AS151" i="3"/>
  <c r="AR142" i="3"/>
  <c r="AS142" i="3" s="1"/>
  <c r="AQ141" i="3"/>
  <c r="AR141" i="3" s="1"/>
  <c r="AQ140" i="3"/>
  <c r="AR140" i="3" s="1"/>
  <c r="AS139" i="3"/>
  <c r="AR117" i="3"/>
  <c r="AS117" i="3" s="1"/>
  <c r="AQ116" i="3"/>
  <c r="AR116" i="3" s="1"/>
  <c r="AP113" i="3"/>
  <c r="AQ113" i="3" s="1"/>
  <c r="AR113" i="3" s="1"/>
  <c r="AR79" i="3"/>
  <c r="AP65" i="3"/>
  <c r="AS65" i="3" s="1"/>
  <c r="AN74" i="3"/>
  <c r="Y88" i="3"/>
  <c r="Y97" i="3" s="1"/>
  <c r="AS76" i="3"/>
  <c r="AS73" i="3"/>
  <c r="AS75" i="3"/>
  <c r="AQ78" i="3"/>
  <c r="AO79" i="3"/>
  <c r="AQ81" i="3"/>
  <c r="AN82" i="3"/>
  <c r="AQ66" i="3"/>
  <c r="AS66" i="3" s="1"/>
  <c r="AP74" i="3"/>
  <c r="AO77" i="3"/>
  <c r="AQ79" i="3"/>
  <c r="AN80" i="3"/>
  <c r="AP82" i="3"/>
  <c r="AO64" i="3"/>
  <c r="AS64" i="3" s="1"/>
  <c r="AO74" i="3"/>
  <c r="AN77" i="3"/>
  <c r="AP79" i="3"/>
  <c r="AR81" i="3"/>
  <c r="AO82" i="3"/>
  <c r="AN63" i="3"/>
  <c r="AP78" i="3"/>
  <c r="AN79" i="3"/>
  <c r="AP81" i="3"/>
  <c r="AO78" i="3"/>
  <c r="AR80" i="3"/>
  <c r="AO81" i="3"/>
  <c r="AR77" i="3"/>
  <c r="AN78" i="3"/>
  <c r="AQ80" i="3"/>
  <c r="AN81" i="3"/>
  <c r="AR74" i="3"/>
  <c r="AQ77" i="3"/>
  <c r="AR78" i="3"/>
  <c r="AP80" i="3"/>
  <c r="AR82" i="3"/>
  <c r="AQ74" i="3"/>
  <c r="AP77" i="3"/>
  <c r="AO80" i="3"/>
  <c r="AQ82" i="3"/>
  <c r="AQ63" i="3"/>
  <c r="AR63" i="3" s="1"/>
  <c r="AS14" i="3"/>
  <c r="AF91" i="3"/>
  <c r="B182" i="3"/>
  <c r="AS15" i="3"/>
  <c r="AS16" i="3"/>
  <c r="F83" i="3"/>
  <c r="F97" i="3"/>
  <c r="N97" i="3"/>
  <c r="V97" i="3"/>
  <c r="H97" i="3"/>
  <c r="P97" i="3"/>
  <c r="X97" i="3"/>
  <c r="D97" i="3"/>
  <c r="L97" i="3"/>
  <c r="T97" i="3"/>
  <c r="AJ18" i="3"/>
  <c r="AJ59" i="3" s="1"/>
  <c r="AG92" i="3"/>
  <c r="Z88" i="3"/>
  <c r="Z97" i="3" s="1"/>
  <c r="BF29" i="3"/>
  <c r="AH92" i="3"/>
  <c r="BL27" i="3"/>
  <c r="C182" i="3"/>
  <c r="AI92" i="3"/>
  <c r="AH145" i="3"/>
  <c r="AG91" i="3"/>
  <c r="BG29" i="3"/>
  <c r="BI29" i="3"/>
  <c r="H31" i="3"/>
  <c r="AS31" i="3" s="1"/>
  <c r="B97" i="3"/>
  <c r="J97" i="3"/>
  <c r="R97" i="3"/>
  <c r="I97" i="3"/>
  <c r="Z177" i="3"/>
  <c r="BJ29" i="3"/>
  <c r="C97" i="3"/>
  <c r="S97" i="3"/>
  <c r="BK29" i="3"/>
  <c r="K97" i="3"/>
  <c r="BC29" i="3"/>
  <c r="E97" i="3"/>
  <c r="M97" i="3"/>
  <c r="U97" i="3"/>
  <c r="BL24" i="3"/>
  <c r="BL26" i="3"/>
  <c r="G29" i="3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G97" i="3"/>
  <c r="O97" i="3"/>
  <c r="W97" i="3"/>
  <c r="AT183" i="2"/>
  <c r="AT179" i="2"/>
  <c r="AT181" i="2"/>
  <c r="AT72" i="2"/>
  <c r="AT69" i="2"/>
  <c r="AT71" i="2"/>
  <c r="AR88" i="2"/>
  <c r="AQ81" i="2"/>
  <c r="AO82" i="2"/>
  <c r="AO86" i="2"/>
  <c r="AI107" i="2"/>
  <c r="AS80" i="2"/>
  <c r="AP85" i="2"/>
  <c r="AS95" i="2"/>
  <c r="AR80" i="2"/>
  <c r="AP81" i="2"/>
  <c r="AT84" i="2"/>
  <c r="AO85" i="2"/>
  <c r="AS87" i="2"/>
  <c r="AQ88" i="2"/>
  <c r="AR95" i="2"/>
  <c r="AQ80" i="2"/>
  <c r="AO81" i="2"/>
  <c r="AS83" i="2"/>
  <c r="AR87" i="2"/>
  <c r="AP88" i="2"/>
  <c r="AQ95" i="2"/>
  <c r="AP80" i="2"/>
  <c r="AR83" i="2"/>
  <c r="AS86" i="2"/>
  <c r="AQ87" i="2"/>
  <c r="AO88" i="2"/>
  <c r="AP95" i="2"/>
  <c r="AO80" i="2"/>
  <c r="AS82" i="2"/>
  <c r="AQ83" i="2"/>
  <c r="AR86" i="2"/>
  <c r="AP87" i="2"/>
  <c r="AT91" i="2"/>
  <c r="AO95" i="2"/>
  <c r="AR82" i="2"/>
  <c r="AP83" i="2"/>
  <c r="AS85" i="2"/>
  <c r="AQ86" i="2"/>
  <c r="AO87" i="2"/>
  <c r="AT92" i="2"/>
  <c r="AS81" i="2"/>
  <c r="AQ82" i="2"/>
  <c r="AO83" i="2"/>
  <c r="AR85" i="2"/>
  <c r="AP86" i="2"/>
  <c r="AT93" i="2"/>
  <c r="AR81" i="2"/>
  <c r="AP82" i="2"/>
  <c r="AQ85" i="2"/>
  <c r="AS88" i="2"/>
  <c r="AS70" i="2"/>
  <c r="AT70" i="2" s="1"/>
  <c r="AQ59" i="2"/>
  <c r="AR59" i="2" s="1"/>
  <c r="AS59" i="2" s="1"/>
  <c r="W25" i="2"/>
  <c r="X51" i="2" s="1"/>
  <c r="Y51" i="2" s="1"/>
  <c r="Z51" i="2" s="1"/>
  <c r="AA51" i="2" s="1"/>
  <c r="AB51" i="2" s="1"/>
  <c r="AC51" i="2" s="1"/>
  <c r="AD51" i="2" s="1"/>
  <c r="AE51" i="2" s="1"/>
  <c r="AF51" i="2" s="1"/>
  <c r="AG51" i="2" s="1"/>
  <c r="AH51" i="2" s="1"/>
  <c r="AI51" i="2" s="1"/>
  <c r="AJ51" i="2" s="1"/>
  <c r="AK51" i="2" s="1"/>
  <c r="AL51" i="2" s="1"/>
  <c r="AM51" i="2" s="1"/>
  <c r="AN51" i="2" s="1"/>
  <c r="AO51" i="2" s="1"/>
  <c r="AP51" i="2" s="1"/>
  <c r="AQ51" i="2" s="1"/>
  <c r="AR51" i="2" s="1"/>
  <c r="AS51" i="2" s="1"/>
  <c r="AH25" i="2"/>
  <c r="AH62" i="2" s="1"/>
  <c r="AT13" i="2"/>
  <c r="AE104" i="2"/>
  <c r="S116" i="2"/>
  <c r="AC108" i="2"/>
  <c r="M25" i="2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AN41" i="2" s="1"/>
  <c r="AO41" i="2" s="1"/>
  <c r="AP41" i="2" s="1"/>
  <c r="AQ41" i="2" s="1"/>
  <c r="AR41" i="2" s="1"/>
  <c r="AS41" i="2" s="1"/>
  <c r="U25" i="2"/>
  <c r="V49" i="2" s="1"/>
  <c r="W49" i="2" s="1"/>
  <c r="X49" i="2" s="1"/>
  <c r="Y49" i="2" s="1"/>
  <c r="Z49" i="2" s="1"/>
  <c r="AA49" i="2" s="1"/>
  <c r="AB49" i="2" s="1"/>
  <c r="AC49" i="2" s="1"/>
  <c r="AD49" i="2" s="1"/>
  <c r="AE49" i="2" s="1"/>
  <c r="AF49" i="2" s="1"/>
  <c r="AG49" i="2" s="1"/>
  <c r="AH49" i="2" s="1"/>
  <c r="AI49" i="2" s="1"/>
  <c r="AJ49" i="2" s="1"/>
  <c r="AK49" i="2" s="1"/>
  <c r="AL49" i="2" s="1"/>
  <c r="AM49" i="2" s="1"/>
  <c r="AN49" i="2" s="1"/>
  <c r="AO49" i="2" s="1"/>
  <c r="AP49" i="2" s="1"/>
  <c r="AQ49" i="2" s="1"/>
  <c r="AR49" i="2" s="1"/>
  <c r="AS49" i="2" s="1"/>
  <c r="AC25" i="2"/>
  <c r="AC57" i="2" s="1"/>
  <c r="Q25" i="2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AM45" i="2" s="1"/>
  <c r="AN45" i="2" s="1"/>
  <c r="AO45" i="2" s="1"/>
  <c r="AP45" i="2" s="1"/>
  <c r="AQ45" i="2" s="1"/>
  <c r="AR45" i="2" s="1"/>
  <c r="AS45" i="2" s="1"/>
  <c r="Y25" i="2"/>
  <c r="Z53" i="2" s="1"/>
  <c r="AA53" i="2" s="1"/>
  <c r="AB53" i="2" s="1"/>
  <c r="AC53" i="2" s="1"/>
  <c r="AD53" i="2" s="1"/>
  <c r="AE53" i="2" s="1"/>
  <c r="AF53" i="2" s="1"/>
  <c r="AG53" i="2" s="1"/>
  <c r="AH53" i="2" s="1"/>
  <c r="AI53" i="2" s="1"/>
  <c r="AJ53" i="2" s="1"/>
  <c r="AK53" i="2" s="1"/>
  <c r="AL53" i="2" s="1"/>
  <c r="AM53" i="2" s="1"/>
  <c r="AN53" i="2" s="1"/>
  <c r="AO53" i="2" s="1"/>
  <c r="AP53" i="2" s="1"/>
  <c r="AQ53" i="2" s="1"/>
  <c r="AR53" i="2" s="1"/>
  <c r="AS53" i="2" s="1"/>
  <c r="D116" i="2"/>
  <c r="L116" i="2"/>
  <c r="T116" i="2"/>
  <c r="AF124" i="2"/>
  <c r="AG124" i="2" s="1"/>
  <c r="E116" i="2"/>
  <c r="M116" i="2"/>
  <c r="U116" i="2"/>
  <c r="C116" i="2"/>
  <c r="AC104" i="2"/>
  <c r="BB33" i="2"/>
  <c r="AE59" i="2"/>
  <c r="F116" i="2"/>
  <c r="N116" i="2"/>
  <c r="V116" i="2"/>
  <c r="T25" i="2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AG48" i="2" s="1"/>
  <c r="AH48" i="2" s="1"/>
  <c r="AI48" i="2" s="1"/>
  <c r="AJ48" i="2" s="1"/>
  <c r="AK48" i="2" s="1"/>
  <c r="AL48" i="2" s="1"/>
  <c r="AM48" i="2" s="1"/>
  <c r="AN48" i="2" s="1"/>
  <c r="AO48" i="2" s="1"/>
  <c r="AP48" i="2" s="1"/>
  <c r="AQ48" i="2" s="1"/>
  <c r="AR48" i="2" s="1"/>
  <c r="AS48" i="2" s="1"/>
  <c r="AB25" i="2"/>
  <c r="AC56" i="2" s="1"/>
  <c r="AD56" i="2" s="1"/>
  <c r="AE56" i="2" s="1"/>
  <c r="AF56" i="2" s="1"/>
  <c r="AG56" i="2" s="1"/>
  <c r="AH56" i="2" s="1"/>
  <c r="AI56" i="2" s="1"/>
  <c r="AJ56" i="2" s="1"/>
  <c r="AK56" i="2" s="1"/>
  <c r="AL56" i="2" s="1"/>
  <c r="AM56" i="2" s="1"/>
  <c r="AN56" i="2" s="1"/>
  <c r="AO56" i="2" s="1"/>
  <c r="AP56" i="2" s="1"/>
  <c r="AQ56" i="2" s="1"/>
  <c r="AR56" i="2" s="1"/>
  <c r="AS56" i="2" s="1"/>
  <c r="BF33" i="2"/>
  <c r="AH151" i="2"/>
  <c r="AI151" i="2" s="1"/>
  <c r="AJ151" i="2" s="1"/>
  <c r="AK151" i="2" s="1"/>
  <c r="AL151" i="2" s="1"/>
  <c r="AM151" i="2" s="1"/>
  <c r="AN151" i="2" s="1"/>
  <c r="AO151" i="2" s="1"/>
  <c r="AP151" i="2" s="1"/>
  <c r="AQ151" i="2" s="1"/>
  <c r="AR151" i="2" s="1"/>
  <c r="AS151" i="2" s="1"/>
  <c r="AK83" i="2"/>
  <c r="K116" i="2"/>
  <c r="AD108" i="2"/>
  <c r="O116" i="2"/>
  <c r="BL32" i="2"/>
  <c r="AF86" i="2"/>
  <c r="BH33" i="2"/>
  <c r="W116" i="2"/>
  <c r="P25" i="2"/>
  <c r="P44" i="2" s="1"/>
  <c r="X25" i="2"/>
  <c r="Y52" i="2" s="1"/>
  <c r="Z52" i="2" s="1"/>
  <c r="AA52" i="2" s="1"/>
  <c r="AB52" i="2" s="1"/>
  <c r="AC52" i="2" s="1"/>
  <c r="AD52" i="2" s="1"/>
  <c r="AE52" i="2" s="1"/>
  <c r="AF52" i="2" s="1"/>
  <c r="AG52" i="2" s="1"/>
  <c r="AH52" i="2" s="1"/>
  <c r="AI52" i="2" s="1"/>
  <c r="AJ52" i="2" s="1"/>
  <c r="AK52" i="2" s="1"/>
  <c r="AL52" i="2" s="1"/>
  <c r="AM52" i="2" s="1"/>
  <c r="AN52" i="2" s="1"/>
  <c r="AO52" i="2" s="1"/>
  <c r="AP52" i="2" s="1"/>
  <c r="AQ52" i="2" s="1"/>
  <c r="AR52" i="2" s="1"/>
  <c r="AS52" i="2" s="1"/>
  <c r="AI25" i="2"/>
  <c r="AJ63" i="2" s="1"/>
  <c r="AK63" i="2" s="1"/>
  <c r="AL63" i="2" s="1"/>
  <c r="AM63" i="2" s="1"/>
  <c r="AN63" i="2" s="1"/>
  <c r="AO63" i="2" s="1"/>
  <c r="AP63" i="2" s="1"/>
  <c r="AQ63" i="2" s="1"/>
  <c r="AR63" i="2" s="1"/>
  <c r="AS63" i="2" s="1"/>
  <c r="BG33" i="2"/>
  <c r="I116" i="2"/>
  <c r="Q116" i="2"/>
  <c r="X100" i="2"/>
  <c r="G116" i="2"/>
  <c r="BJ33" i="2"/>
  <c r="R25" i="2"/>
  <c r="R46" i="2" s="1"/>
  <c r="Z25" i="2"/>
  <c r="AA54" i="2" s="1"/>
  <c r="AB54" i="2" s="1"/>
  <c r="AC54" i="2" s="1"/>
  <c r="AD54" i="2" s="1"/>
  <c r="AE54" i="2" s="1"/>
  <c r="AF54" i="2" s="1"/>
  <c r="AG54" i="2" s="1"/>
  <c r="AH54" i="2" s="1"/>
  <c r="AI54" i="2" s="1"/>
  <c r="AJ54" i="2" s="1"/>
  <c r="AK54" i="2" s="1"/>
  <c r="AL54" i="2" s="1"/>
  <c r="AM54" i="2" s="1"/>
  <c r="AN54" i="2" s="1"/>
  <c r="AO54" i="2" s="1"/>
  <c r="AP54" i="2" s="1"/>
  <c r="AQ54" i="2" s="1"/>
  <c r="AR54" i="2" s="1"/>
  <c r="AS54" i="2" s="1"/>
  <c r="F86" i="2"/>
  <c r="F96" i="2" s="1"/>
  <c r="N86" i="2"/>
  <c r="N96" i="2" s="1"/>
  <c r="V86" i="2"/>
  <c r="AD25" i="2"/>
  <c r="AD58" i="2" s="1"/>
  <c r="J116" i="2"/>
  <c r="R116" i="2"/>
  <c r="S25" i="2"/>
  <c r="S47" i="2" s="1"/>
  <c r="AA25" i="2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AN55" i="2" s="1"/>
  <c r="AO55" i="2" s="1"/>
  <c r="AP55" i="2" s="1"/>
  <c r="AQ55" i="2" s="1"/>
  <c r="AR55" i="2" s="1"/>
  <c r="AS55" i="2" s="1"/>
  <c r="W86" i="2"/>
  <c r="BD33" i="2"/>
  <c r="BA33" i="2"/>
  <c r="BI33" i="2"/>
  <c r="Y48" i="3"/>
  <c r="Z48" i="3"/>
  <c r="AA48" i="3" s="1"/>
  <c r="AB48" i="3" s="1"/>
  <c r="AC48" i="3" s="1"/>
  <c r="AD48" i="3" s="1"/>
  <c r="AE48" i="3" s="1"/>
  <c r="AF48" i="3" s="1"/>
  <c r="AG48" i="3" s="1"/>
  <c r="AH48" i="3" s="1"/>
  <c r="AI48" i="3" s="1"/>
  <c r="AJ48" i="3" s="1"/>
  <c r="AK48" i="3" s="1"/>
  <c r="AL48" i="3" s="1"/>
  <c r="AM48" i="3" s="1"/>
  <c r="AN48" i="3" s="1"/>
  <c r="AO48" i="3" s="1"/>
  <c r="AP48" i="3" s="1"/>
  <c r="AQ48" i="3" s="1"/>
  <c r="AR48" i="3" s="1"/>
  <c r="AJ79" i="3"/>
  <c r="AK82" i="3"/>
  <c r="AJ82" i="3"/>
  <c r="AM82" i="3"/>
  <c r="J83" i="3"/>
  <c r="K33" i="3"/>
  <c r="L33" i="3" s="1"/>
  <c r="M33" i="3" s="1"/>
  <c r="N33" i="3" s="1"/>
  <c r="O33" i="3" s="1"/>
  <c r="P33" i="3" s="1"/>
  <c r="Q33" i="3" s="1"/>
  <c r="R33" i="3" s="1"/>
  <c r="S33" i="3" s="1"/>
  <c r="T33" i="3" s="1"/>
  <c r="U33" i="3" s="1"/>
  <c r="V33" i="3" s="1"/>
  <c r="W33" i="3" s="1"/>
  <c r="X33" i="3" s="1"/>
  <c r="Y33" i="3" s="1"/>
  <c r="Z33" i="3" s="1"/>
  <c r="AA33" i="3" s="1"/>
  <c r="AB33" i="3" s="1"/>
  <c r="AC33" i="3" s="1"/>
  <c r="AD33" i="3" s="1"/>
  <c r="AE33" i="3" s="1"/>
  <c r="AF33" i="3" s="1"/>
  <c r="AG33" i="3" s="1"/>
  <c r="AH33" i="3" s="1"/>
  <c r="AI33" i="3" s="1"/>
  <c r="AJ33" i="3" s="1"/>
  <c r="AK33" i="3" s="1"/>
  <c r="AL33" i="3" s="1"/>
  <c r="AM33" i="3" s="1"/>
  <c r="AN33" i="3" s="1"/>
  <c r="AO33" i="3" s="1"/>
  <c r="AP33" i="3" s="1"/>
  <c r="AQ33" i="3" s="1"/>
  <c r="AR33" i="3" s="1"/>
  <c r="J33" i="3"/>
  <c r="R41" i="3"/>
  <c r="Z49" i="3"/>
  <c r="AA49" i="3"/>
  <c r="AB49" i="3" s="1"/>
  <c r="AC49" i="3" s="1"/>
  <c r="AD49" i="3" s="1"/>
  <c r="AE49" i="3" s="1"/>
  <c r="AF49" i="3" s="1"/>
  <c r="AG49" i="3" s="1"/>
  <c r="AH49" i="3" s="1"/>
  <c r="AI49" i="3" s="1"/>
  <c r="AJ49" i="3" s="1"/>
  <c r="AK49" i="3" s="1"/>
  <c r="AL49" i="3" s="1"/>
  <c r="AM49" i="3" s="1"/>
  <c r="AN49" i="3" s="1"/>
  <c r="AO49" i="3" s="1"/>
  <c r="AP49" i="3" s="1"/>
  <c r="AQ49" i="3" s="1"/>
  <c r="AR49" i="3" s="1"/>
  <c r="AI57" i="3"/>
  <c r="AJ57" i="3" s="1"/>
  <c r="AK57" i="3" s="1"/>
  <c r="AL57" i="3" s="1"/>
  <c r="AM57" i="3" s="1"/>
  <c r="AN57" i="3" s="1"/>
  <c r="AO57" i="3" s="1"/>
  <c r="AP57" i="3" s="1"/>
  <c r="AQ57" i="3" s="1"/>
  <c r="AR57" i="3" s="1"/>
  <c r="AH57" i="3"/>
  <c r="BH23" i="3"/>
  <c r="BH29" i="3" s="1"/>
  <c r="BL25" i="3"/>
  <c r="E28" i="3"/>
  <c r="AH129" i="3"/>
  <c r="AI129" i="3" s="1"/>
  <c r="AJ129" i="3" s="1"/>
  <c r="AK129" i="3" s="1"/>
  <c r="AL129" i="3" s="1"/>
  <c r="AM129" i="3" s="1"/>
  <c r="AN129" i="3" s="1"/>
  <c r="AO129" i="3" s="1"/>
  <c r="AP129" i="3" s="1"/>
  <c r="AQ129" i="3" s="1"/>
  <c r="AR129" i="3" s="1"/>
  <c r="J32" i="3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AR32" i="3" s="1"/>
  <c r="I32" i="3"/>
  <c r="AM77" i="3"/>
  <c r="AL77" i="3"/>
  <c r="AK77" i="3"/>
  <c r="AJ77" i="3"/>
  <c r="K83" i="3"/>
  <c r="L34" i="3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AJ34" i="3" s="1"/>
  <c r="AK34" i="3" s="1"/>
  <c r="AL34" i="3" s="1"/>
  <c r="AM34" i="3" s="1"/>
  <c r="AN34" i="3" s="1"/>
  <c r="AO34" i="3" s="1"/>
  <c r="AP34" i="3" s="1"/>
  <c r="AQ34" i="3" s="1"/>
  <c r="AR34" i="3" s="1"/>
  <c r="K34" i="3"/>
  <c r="T42" i="3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AJ42" i="3" s="1"/>
  <c r="AK42" i="3" s="1"/>
  <c r="AL42" i="3" s="1"/>
  <c r="AM42" i="3" s="1"/>
  <c r="AN42" i="3" s="1"/>
  <c r="AO42" i="3" s="1"/>
  <c r="AP42" i="3" s="1"/>
  <c r="AQ42" i="3" s="1"/>
  <c r="AR42" i="3" s="1"/>
  <c r="AB50" i="3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AO50" i="3" s="1"/>
  <c r="AP50" i="3" s="1"/>
  <c r="AQ50" i="3" s="1"/>
  <c r="AR50" i="3" s="1"/>
  <c r="AA50" i="3"/>
  <c r="AJ58" i="3"/>
  <c r="AK58" i="3" s="1"/>
  <c r="AL58" i="3" s="1"/>
  <c r="AM58" i="3" s="1"/>
  <c r="AN58" i="3" s="1"/>
  <c r="AO58" i="3" s="1"/>
  <c r="AP58" i="3" s="1"/>
  <c r="AQ58" i="3" s="1"/>
  <c r="AR58" i="3" s="1"/>
  <c r="AI58" i="3"/>
  <c r="F28" i="3"/>
  <c r="AK92" i="3"/>
  <c r="AL159" i="3"/>
  <c r="AJ92" i="3"/>
  <c r="AH56" i="3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G56" i="3"/>
  <c r="L83" i="3"/>
  <c r="U43" i="3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AL43" i="3" s="1"/>
  <c r="AM43" i="3" s="1"/>
  <c r="AN43" i="3" s="1"/>
  <c r="AO43" i="3" s="1"/>
  <c r="AP43" i="3" s="1"/>
  <c r="AQ43" i="3" s="1"/>
  <c r="AR43" i="3" s="1"/>
  <c r="T43" i="3"/>
  <c r="AC51" i="3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AN51" i="3" s="1"/>
  <c r="AO51" i="3" s="1"/>
  <c r="AP51" i="3" s="1"/>
  <c r="AQ51" i="3" s="1"/>
  <c r="AR51" i="3" s="1"/>
  <c r="AB51" i="3"/>
  <c r="M35" i="3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AL35" i="3" s="1"/>
  <c r="AM35" i="3" s="1"/>
  <c r="AN35" i="3" s="1"/>
  <c r="AO35" i="3" s="1"/>
  <c r="AP35" i="3" s="1"/>
  <c r="AQ35" i="3" s="1"/>
  <c r="AR35" i="3" s="1"/>
  <c r="I83" i="3"/>
  <c r="AD89" i="3"/>
  <c r="AE120" i="3"/>
  <c r="AK74" i="3"/>
  <c r="AJ74" i="3"/>
  <c r="AL74" i="3"/>
  <c r="AM80" i="3"/>
  <c r="AK80" i="3"/>
  <c r="AJ80" i="3"/>
  <c r="M83" i="3"/>
  <c r="M36" i="3"/>
  <c r="V44" i="3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D52" i="3"/>
  <c r="AE52" i="3" s="1"/>
  <c r="AF52" i="3" s="1"/>
  <c r="AG52" i="3" s="1"/>
  <c r="AH52" i="3" s="1"/>
  <c r="AI52" i="3" s="1"/>
  <c r="AJ52" i="3" s="1"/>
  <c r="AK52" i="3" s="1"/>
  <c r="AL52" i="3" s="1"/>
  <c r="AM52" i="3" s="1"/>
  <c r="AN52" i="3" s="1"/>
  <c r="AO52" i="3" s="1"/>
  <c r="AP52" i="3" s="1"/>
  <c r="AQ52" i="3" s="1"/>
  <c r="AR52" i="3" s="1"/>
  <c r="AC52" i="3"/>
  <c r="AL60" i="3"/>
  <c r="AM60" i="3" s="1"/>
  <c r="AN60" i="3" s="1"/>
  <c r="AO60" i="3" s="1"/>
  <c r="AP60" i="3" s="1"/>
  <c r="AQ60" i="3" s="1"/>
  <c r="AR60" i="3" s="1"/>
  <c r="AK60" i="3"/>
  <c r="AI109" i="3"/>
  <c r="AJ109" i="3" s="1"/>
  <c r="AK109" i="3" s="1"/>
  <c r="AL109" i="3" s="1"/>
  <c r="AM109" i="3" s="1"/>
  <c r="AN109" i="3" s="1"/>
  <c r="AO109" i="3" s="1"/>
  <c r="AP109" i="3" s="1"/>
  <c r="AQ109" i="3" s="1"/>
  <c r="AR109" i="3" s="1"/>
  <c r="AH79" i="3"/>
  <c r="Z79" i="3"/>
  <c r="R79" i="3"/>
  <c r="AH109" i="3"/>
  <c r="AG79" i="3"/>
  <c r="Y79" i="3"/>
  <c r="Q79" i="3"/>
  <c r="AF79" i="3"/>
  <c r="X79" i="3"/>
  <c r="P79" i="3"/>
  <c r="AM79" i="3"/>
  <c r="AE79" i="3"/>
  <c r="W79" i="3"/>
  <c r="AL79" i="3"/>
  <c r="AD79" i="3"/>
  <c r="V79" i="3"/>
  <c r="T79" i="3"/>
  <c r="AK79" i="3"/>
  <c r="S79" i="3"/>
  <c r="AI79" i="3"/>
  <c r="AB79" i="3"/>
  <c r="AA79" i="3"/>
  <c r="AM78" i="3"/>
  <c r="AL78" i="3"/>
  <c r="AK78" i="3"/>
  <c r="AJ78" i="3"/>
  <c r="N83" i="3"/>
  <c r="O37" i="3"/>
  <c r="V45" i="3"/>
  <c r="AS45" i="3" s="1"/>
  <c r="AE53" i="3"/>
  <c r="AF53" i="3" s="1"/>
  <c r="AG53" i="3" s="1"/>
  <c r="AH53" i="3" s="1"/>
  <c r="AI53" i="3" s="1"/>
  <c r="AJ53" i="3" s="1"/>
  <c r="AK53" i="3" s="1"/>
  <c r="AL53" i="3" s="1"/>
  <c r="AM53" i="3" s="1"/>
  <c r="AN53" i="3" s="1"/>
  <c r="AO53" i="3" s="1"/>
  <c r="AP53" i="3" s="1"/>
  <c r="AQ53" i="3" s="1"/>
  <c r="AR53" i="3" s="1"/>
  <c r="AD53" i="3"/>
  <c r="AL61" i="3"/>
  <c r="N36" i="3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AJ36" i="3" s="1"/>
  <c r="AK36" i="3" s="1"/>
  <c r="AL36" i="3" s="1"/>
  <c r="AM36" i="3" s="1"/>
  <c r="AN36" i="3" s="1"/>
  <c r="AO36" i="3" s="1"/>
  <c r="AP36" i="3" s="1"/>
  <c r="AQ36" i="3" s="1"/>
  <c r="AR36" i="3" s="1"/>
  <c r="AM74" i="3"/>
  <c r="U79" i="3"/>
  <c r="Q97" i="3"/>
  <c r="AE93" i="3"/>
  <c r="AF105" i="3"/>
  <c r="Q40" i="3"/>
  <c r="AS40" i="3" s="1"/>
  <c r="AJ81" i="3"/>
  <c r="AL81" i="3"/>
  <c r="AK81" i="3"/>
  <c r="G30" i="3"/>
  <c r="G83" i="3"/>
  <c r="P38" i="3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AF38" i="3" s="1"/>
  <c r="AG38" i="3" s="1"/>
  <c r="AH38" i="3" s="1"/>
  <c r="AI38" i="3" s="1"/>
  <c r="AJ38" i="3" s="1"/>
  <c r="AK38" i="3" s="1"/>
  <c r="AL38" i="3" s="1"/>
  <c r="AM38" i="3" s="1"/>
  <c r="AN38" i="3" s="1"/>
  <c r="AO38" i="3" s="1"/>
  <c r="AP38" i="3" s="1"/>
  <c r="AQ38" i="3" s="1"/>
  <c r="AR38" i="3" s="1"/>
  <c r="O38" i="3"/>
  <c r="O83" i="3"/>
  <c r="W46" i="3"/>
  <c r="AS46" i="3" s="1"/>
  <c r="AF54" i="3"/>
  <c r="AG54" i="3" s="1"/>
  <c r="AH54" i="3" s="1"/>
  <c r="AI54" i="3" s="1"/>
  <c r="AJ54" i="3" s="1"/>
  <c r="AK54" i="3" s="1"/>
  <c r="AL54" i="3" s="1"/>
  <c r="AM54" i="3" s="1"/>
  <c r="AN54" i="3" s="1"/>
  <c r="AO54" i="3" s="1"/>
  <c r="AP54" i="3" s="1"/>
  <c r="AQ54" i="3" s="1"/>
  <c r="AR54" i="3" s="1"/>
  <c r="AE54" i="3"/>
  <c r="AM62" i="3"/>
  <c r="AS62" i="3" s="1"/>
  <c r="BE29" i="3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AL30" i="3" s="1"/>
  <c r="AM30" i="3" s="1"/>
  <c r="AN30" i="3" s="1"/>
  <c r="AO30" i="3" s="1"/>
  <c r="AP30" i="3" s="1"/>
  <c r="AQ30" i="3" s="1"/>
  <c r="AR30" i="3" s="1"/>
  <c r="S41" i="3"/>
  <c r="T41" i="3" s="1"/>
  <c r="U41" i="3" s="1"/>
  <c r="V41" i="3" s="1"/>
  <c r="W41" i="3" s="1"/>
  <c r="X41" i="3" s="1"/>
  <c r="Y41" i="3" s="1"/>
  <c r="Z41" i="3" s="1"/>
  <c r="AA41" i="3" s="1"/>
  <c r="AB41" i="3" s="1"/>
  <c r="AC41" i="3" s="1"/>
  <c r="AD41" i="3" s="1"/>
  <c r="AE41" i="3" s="1"/>
  <c r="AF41" i="3" s="1"/>
  <c r="AG41" i="3" s="1"/>
  <c r="AH41" i="3" s="1"/>
  <c r="AI41" i="3" s="1"/>
  <c r="AJ41" i="3" s="1"/>
  <c r="AK41" i="3" s="1"/>
  <c r="AL41" i="3" s="1"/>
  <c r="AM41" i="3" s="1"/>
  <c r="AN41" i="3" s="1"/>
  <c r="AO41" i="3" s="1"/>
  <c r="AP41" i="3" s="1"/>
  <c r="AQ41" i="3" s="1"/>
  <c r="AR41" i="3" s="1"/>
  <c r="S42" i="3"/>
  <c r="AM61" i="3"/>
  <c r="AN61" i="3" s="1"/>
  <c r="AO61" i="3" s="1"/>
  <c r="AC79" i="3"/>
  <c r="AM110" i="3"/>
  <c r="AN110" i="3" s="1"/>
  <c r="AO110" i="3" s="1"/>
  <c r="AP110" i="3" s="1"/>
  <c r="AQ110" i="3" s="1"/>
  <c r="AR110" i="3" s="1"/>
  <c r="H83" i="3"/>
  <c r="P18" i="3"/>
  <c r="Y83" i="3" s="1"/>
  <c r="Y47" i="3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X47" i="3"/>
  <c r="AG55" i="3"/>
  <c r="AH55" i="3" s="1"/>
  <c r="AI55" i="3" s="1"/>
  <c r="AJ55" i="3" s="1"/>
  <c r="AK55" i="3" s="1"/>
  <c r="AL55" i="3" s="1"/>
  <c r="AM55" i="3" s="1"/>
  <c r="AN55" i="3" s="1"/>
  <c r="AO55" i="3" s="1"/>
  <c r="AP55" i="3" s="1"/>
  <c r="AQ55" i="3" s="1"/>
  <c r="AR55" i="3" s="1"/>
  <c r="AF55" i="3"/>
  <c r="F29" i="3"/>
  <c r="AL82" i="3"/>
  <c r="AE91" i="3"/>
  <c r="AD93" i="3"/>
  <c r="AC89" i="3"/>
  <c r="AA125" i="3"/>
  <c r="K38" i="2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C38" i="2" s="1"/>
  <c r="AD38" i="2" s="1"/>
  <c r="AE38" i="2" s="1"/>
  <c r="AF38" i="2" s="1"/>
  <c r="AG38" i="2" s="1"/>
  <c r="AH38" i="2" s="1"/>
  <c r="AI38" i="2" s="1"/>
  <c r="AJ38" i="2" s="1"/>
  <c r="AK38" i="2" s="1"/>
  <c r="AL38" i="2" s="1"/>
  <c r="AM38" i="2" s="1"/>
  <c r="AN38" i="2" s="1"/>
  <c r="AO38" i="2" s="1"/>
  <c r="AP38" i="2" s="1"/>
  <c r="AQ38" i="2" s="1"/>
  <c r="AR38" i="2" s="1"/>
  <c r="AS38" i="2" s="1"/>
  <c r="J38" i="2"/>
  <c r="D32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AG32" i="2" s="1"/>
  <c r="AH32" i="2" s="1"/>
  <c r="AI32" i="2" s="1"/>
  <c r="AJ32" i="2" s="1"/>
  <c r="AK32" i="2" s="1"/>
  <c r="AL32" i="2" s="1"/>
  <c r="AM32" i="2" s="1"/>
  <c r="AN32" i="2" s="1"/>
  <c r="AO32" i="2" s="1"/>
  <c r="AP32" i="2" s="1"/>
  <c r="AQ32" i="2" s="1"/>
  <c r="AR32" i="2" s="1"/>
  <c r="AS32" i="2" s="1"/>
  <c r="H35" i="2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AP35" i="2" s="1"/>
  <c r="AQ35" i="2" s="1"/>
  <c r="AR35" i="2" s="1"/>
  <c r="AS35" i="2" s="1"/>
  <c r="G35" i="2"/>
  <c r="AN82" i="2"/>
  <c r="AM82" i="2"/>
  <c r="AL82" i="2"/>
  <c r="AK82" i="2"/>
  <c r="O86" i="2"/>
  <c r="O96" i="2" s="1"/>
  <c r="AD106" i="2"/>
  <c r="AE149" i="2"/>
  <c r="G86" i="2"/>
  <c r="G96" i="2" s="1"/>
  <c r="AH86" i="2"/>
  <c r="AF146" i="2"/>
  <c r="AN88" i="2"/>
  <c r="AF88" i="2"/>
  <c r="X88" i="2"/>
  <c r="AM88" i="2"/>
  <c r="AE88" i="2"/>
  <c r="W88" i="2"/>
  <c r="AL88" i="2"/>
  <c r="AD88" i="2"/>
  <c r="V88" i="2"/>
  <c r="AG146" i="2"/>
  <c r="AH146" i="2" s="1"/>
  <c r="AI146" i="2" s="1"/>
  <c r="AJ146" i="2" s="1"/>
  <c r="AK146" i="2" s="1"/>
  <c r="AL146" i="2" s="1"/>
  <c r="AM146" i="2" s="1"/>
  <c r="AN146" i="2" s="1"/>
  <c r="AO146" i="2" s="1"/>
  <c r="AP146" i="2" s="1"/>
  <c r="AQ146" i="2" s="1"/>
  <c r="AR146" i="2" s="1"/>
  <c r="AS146" i="2" s="1"/>
  <c r="AK88" i="2"/>
  <c r="AC88" i="2"/>
  <c r="U88" i="2"/>
  <c r="AJ88" i="2"/>
  <c r="AB88" i="2"/>
  <c r="T88" i="2"/>
  <c r="AI88" i="2"/>
  <c r="AA88" i="2"/>
  <c r="S88" i="2"/>
  <c r="Q88" i="2"/>
  <c r="Z88" i="2"/>
  <c r="Y88" i="2"/>
  <c r="O25" i="2"/>
  <c r="BL31" i="2"/>
  <c r="AK85" i="2"/>
  <c r="AN85" i="2"/>
  <c r="AL85" i="2"/>
  <c r="H86" i="2"/>
  <c r="H96" i="2" s="1"/>
  <c r="P86" i="2"/>
  <c r="P96" i="2" s="1"/>
  <c r="X86" i="2"/>
  <c r="AI86" i="2"/>
  <c r="AN95" i="2"/>
  <c r="AM95" i="2"/>
  <c r="AL95" i="2"/>
  <c r="AK95" i="2"/>
  <c r="H25" i="2"/>
  <c r="V25" i="2"/>
  <c r="I86" i="2"/>
  <c r="I96" i="2" s="1"/>
  <c r="R86" i="2"/>
  <c r="R88" i="2"/>
  <c r="AJ147" i="2"/>
  <c r="AK147" i="2" s="1"/>
  <c r="AL147" i="2" s="1"/>
  <c r="AM147" i="2" s="1"/>
  <c r="AN147" i="2" s="1"/>
  <c r="AO147" i="2" s="1"/>
  <c r="AP147" i="2" s="1"/>
  <c r="AQ147" i="2" s="1"/>
  <c r="AR147" i="2" s="1"/>
  <c r="AS147" i="2" s="1"/>
  <c r="F25" i="2"/>
  <c r="AK7" i="2"/>
  <c r="AK25" i="2" s="1"/>
  <c r="Q86" i="2"/>
  <c r="AM86" i="2"/>
  <c r="J86" i="2"/>
  <c r="J96" i="2" s="1"/>
  <c r="AN81" i="2"/>
  <c r="AM81" i="2"/>
  <c r="AL81" i="2"/>
  <c r="AK81" i="2"/>
  <c r="AK86" i="2"/>
  <c r="AJ86" i="2"/>
  <c r="C86" i="2"/>
  <c r="AG86" i="2"/>
  <c r="AE86" i="2"/>
  <c r="K86" i="2"/>
  <c r="K96" i="2" s="1"/>
  <c r="S86" i="2"/>
  <c r="AA86" i="2"/>
  <c r="AN25" i="2"/>
  <c r="AN86" i="2"/>
  <c r="AM87" i="2"/>
  <c r="AL87" i="2"/>
  <c r="AK87" i="2"/>
  <c r="C25" i="2"/>
  <c r="K25" i="2"/>
  <c r="AK64" i="2"/>
  <c r="AL64" i="2" s="1"/>
  <c r="AM64" i="2" s="1"/>
  <c r="AN64" i="2" s="1"/>
  <c r="AO64" i="2" s="1"/>
  <c r="AP64" i="2" s="1"/>
  <c r="AQ64" i="2" s="1"/>
  <c r="AR64" i="2" s="1"/>
  <c r="AS64" i="2" s="1"/>
  <c r="AJ64" i="2"/>
  <c r="BL28" i="2"/>
  <c r="AG88" i="2"/>
  <c r="D90" i="2"/>
  <c r="AT90" i="2" s="1"/>
  <c r="AD86" i="2"/>
  <c r="N25" i="2"/>
  <c r="AN83" i="2"/>
  <c r="AM83" i="2"/>
  <c r="AL83" i="2"/>
  <c r="Y86" i="2"/>
  <c r="I25" i="2"/>
  <c r="BL27" i="2"/>
  <c r="AZ33" i="2"/>
  <c r="Z86" i="2"/>
  <c r="L86" i="2"/>
  <c r="L96" i="2" s="1"/>
  <c r="T86" i="2"/>
  <c r="AB86" i="2"/>
  <c r="L25" i="2"/>
  <c r="BC33" i="2"/>
  <c r="BK33" i="2"/>
  <c r="BE30" i="2"/>
  <c r="BE33" i="2" s="1"/>
  <c r="AN87" i="2"/>
  <c r="AH88" i="2"/>
  <c r="AE108" i="2"/>
  <c r="AF142" i="2"/>
  <c r="AN80" i="2"/>
  <c r="AM80" i="2"/>
  <c r="AL80" i="2"/>
  <c r="AK80" i="2"/>
  <c r="AL86" i="2"/>
  <c r="AH61" i="2"/>
  <c r="AI61" i="2" s="1"/>
  <c r="AJ61" i="2" s="1"/>
  <c r="AK61" i="2" s="1"/>
  <c r="AL61" i="2" s="1"/>
  <c r="AM61" i="2" s="1"/>
  <c r="AN61" i="2" s="1"/>
  <c r="AO61" i="2" s="1"/>
  <c r="AP61" i="2" s="1"/>
  <c r="AQ61" i="2" s="1"/>
  <c r="AR61" i="2" s="1"/>
  <c r="AS61" i="2" s="1"/>
  <c r="AG61" i="2"/>
  <c r="AN67" i="2"/>
  <c r="AO67" i="2" s="1"/>
  <c r="AP67" i="2" s="1"/>
  <c r="AQ67" i="2" s="1"/>
  <c r="AR67" i="2" s="1"/>
  <c r="AS67" i="2" s="1"/>
  <c r="AM67" i="2"/>
  <c r="E86" i="2"/>
  <c r="E96" i="2" s="1"/>
  <c r="M86" i="2"/>
  <c r="M96" i="2" s="1"/>
  <c r="U86" i="2"/>
  <c r="AC86" i="2"/>
  <c r="E25" i="2"/>
  <c r="AL25" i="2"/>
  <c r="BL29" i="2"/>
  <c r="AM85" i="2"/>
  <c r="AD104" i="2"/>
  <c r="AM131" i="2"/>
  <c r="AN131" i="2" s="1"/>
  <c r="AO131" i="2" s="1"/>
  <c r="AP131" i="2" s="1"/>
  <c r="AQ131" i="2" s="1"/>
  <c r="AR131" i="2" s="1"/>
  <c r="AS131" i="2" s="1"/>
  <c r="D81" i="2"/>
  <c r="D89" i="2"/>
  <c r="AT89" i="2" s="1"/>
  <c r="AG60" i="2"/>
  <c r="AH60" i="2" s="1"/>
  <c r="AI60" i="2" s="1"/>
  <c r="AJ60" i="2" s="1"/>
  <c r="AK60" i="2" s="1"/>
  <c r="AL60" i="2" s="1"/>
  <c r="AM60" i="2" s="1"/>
  <c r="AN60" i="2" s="1"/>
  <c r="AO60" i="2" s="1"/>
  <c r="AP60" i="2" s="1"/>
  <c r="AQ60" i="2" s="1"/>
  <c r="AR60" i="2" s="1"/>
  <c r="AS60" i="2" s="1"/>
  <c r="AF60" i="2"/>
  <c r="AK178" i="2"/>
  <c r="AJ107" i="2"/>
  <c r="D95" i="2"/>
  <c r="H116" i="2"/>
  <c r="P116" i="2"/>
  <c r="AC106" i="2"/>
  <c r="D94" i="2"/>
  <c r="AT94" i="2" s="1"/>
  <c r="Y155" i="2"/>
  <c r="W204" i="2"/>
  <c r="X204" i="2"/>
  <c r="Y119" i="2"/>
  <c r="X103" i="2"/>
  <c r="N71" i="6" l="1"/>
  <c r="AS172" i="3"/>
  <c r="AW6" i="8"/>
  <c r="F12" i="1"/>
  <c r="F26" i="1" s="1"/>
  <c r="F29" i="1" s="1"/>
  <c r="AN3" i="5"/>
  <c r="AA96" i="2"/>
  <c r="AS6" i="6"/>
  <c r="G16" i="1" s="1"/>
  <c r="AT146" i="2"/>
  <c r="AT180" i="2"/>
  <c r="AT188" i="2"/>
  <c r="AT151" i="2"/>
  <c r="AT147" i="2"/>
  <c r="AT131" i="2"/>
  <c r="AQ166" i="2"/>
  <c r="AS45" i="7"/>
  <c r="AL44" i="7"/>
  <c r="AR16" i="7"/>
  <c r="AO16" i="7"/>
  <c r="AS16" i="7" s="1"/>
  <c r="AS12" i="7"/>
  <c r="G23" i="1" s="1"/>
  <c r="AS44" i="7"/>
  <c r="AV47" i="7" s="1"/>
  <c r="AV49" i="7" s="1"/>
  <c r="AV50" i="7" s="1"/>
  <c r="AS31" i="7"/>
  <c r="AM30" i="7"/>
  <c r="AS46" i="7"/>
  <c r="AS7" i="7"/>
  <c r="AQ16" i="7"/>
  <c r="AL30" i="7"/>
  <c r="AR24" i="6"/>
  <c r="AM71" i="6"/>
  <c r="AP71" i="6"/>
  <c r="AS5" i="6"/>
  <c r="AL71" i="6"/>
  <c r="AN47" i="6"/>
  <c r="AS62" i="6"/>
  <c r="AS72" i="6" s="1"/>
  <c r="AS28" i="6"/>
  <c r="H15" i="1" s="1"/>
  <c r="AQ71" i="6"/>
  <c r="AL24" i="6"/>
  <c r="AR47" i="6"/>
  <c r="AS7" i="6"/>
  <c r="AN24" i="6"/>
  <c r="AP47" i="6"/>
  <c r="AM24" i="6"/>
  <c r="AL47" i="6"/>
  <c r="AS134" i="3"/>
  <c r="AS166" i="3"/>
  <c r="AS124" i="3"/>
  <c r="AS121" i="3"/>
  <c r="AS168" i="3"/>
  <c r="AS150" i="3"/>
  <c r="AS161" i="3"/>
  <c r="AS113" i="3"/>
  <c r="AS129" i="3"/>
  <c r="AS109" i="3"/>
  <c r="AS110" i="3"/>
  <c r="AS126" i="3"/>
  <c r="AQ160" i="3"/>
  <c r="AS141" i="3"/>
  <c r="AS140" i="3"/>
  <c r="AS116" i="3"/>
  <c r="AS42" i="3"/>
  <c r="AS55" i="3"/>
  <c r="AS81" i="3"/>
  <c r="AS58" i="3"/>
  <c r="AK59" i="3"/>
  <c r="AL59" i="3" s="1"/>
  <c r="AM59" i="3" s="1"/>
  <c r="AN59" i="3" s="1"/>
  <c r="AO59" i="3" s="1"/>
  <c r="AP59" i="3" s="1"/>
  <c r="AQ59" i="3" s="1"/>
  <c r="AR59" i="3" s="1"/>
  <c r="AQ83" i="3"/>
  <c r="AS82" i="3"/>
  <c r="AS78" i="3"/>
  <c r="AS79" i="3"/>
  <c r="AP83" i="3"/>
  <c r="AS74" i="3"/>
  <c r="AO83" i="3"/>
  <c r="AR83" i="3"/>
  <c r="AS80" i="3"/>
  <c r="AS77" i="3"/>
  <c r="AN83" i="3"/>
  <c r="AP61" i="3"/>
  <c r="AS63" i="3"/>
  <c r="AS29" i="3"/>
  <c r="AS33" i="3"/>
  <c r="AS48" i="3"/>
  <c r="AS51" i="3"/>
  <c r="AS32" i="3"/>
  <c r="AS36" i="3"/>
  <c r="AS56" i="3"/>
  <c r="AS47" i="3"/>
  <c r="AS38" i="3"/>
  <c r="AS53" i="3"/>
  <c r="AS50" i="3"/>
  <c r="AS57" i="3"/>
  <c r="AS18" i="3"/>
  <c r="AV21" i="3" s="1"/>
  <c r="AS35" i="3"/>
  <c r="AS30" i="3"/>
  <c r="P37" i="3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S52" i="3"/>
  <c r="AS34" i="3"/>
  <c r="AS49" i="3"/>
  <c r="AS54" i="3"/>
  <c r="AS43" i="3"/>
  <c r="AS41" i="3"/>
  <c r="AS44" i="3"/>
  <c r="AS60" i="3"/>
  <c r="BL30" i="3"/>
  <c r="BL23" i="3"/>
  <c r="V83" i="3"/>
  <c r="AS19" i="3"/>
  <c r="AE83" i="3"/>
  <c r="T83" i="3"/>
  <c r="AC83" i="3"/>
  <c r="AH83" i="3"/>
  <c r="AJ83" i="3"/>
  <c r="AI145" i="3"/>
  <c r="AH91" i="3"/>
  <c r="AT59" i="2"/>
  <c r="M41" i="2"/>
  <c r="AT41" i="2" s="1"/>
  <c r="AI63" i="2"/>
  <c r="AT63" i="2" s="1"/>
  <c r="W51" i="2"/>
  <c r="AT61" i="2"/>
  <c r="AF104" i="2"/>
  <c r="AI62" i="2"/>
  <c r="AJ62" i="2" s="1"/>
  <c r="AK62" i="2" s="1"/>
  <c r="AL62" i="2" s="1"/>
  <c r="AM62" i="2" s="1"/>
  <c r="AN62" i="2" s="1"/>
  <c r="AO62" i="2" s="1"/>
  <c r="AP62" i="2" s="1"/>
  <c r="AQ62" i="2" s="1"/>
  <c r="AR62" i="2" s="1"/>
  <c r="AS62" i="2" s="1"/>
  <c r="AT67" i="2"/>
  <c r="AT60" i="2"/>
  <c r="AT88" i="2"/>
  <c r="AT81" i="2"/>
  <c r="AT64" i="2"/>
  <c r="AT38" i="2"/>
  <c r="AT83" i="2"/>
  <c r="AT85" i="2"/>
  <c r="AT82" i="2"/>
  <c r="AS96" i="2"/>
  <c r="AO96" i="2"/>
  <c r="AT95" i="2"/>
  <c r="AT80" i="2"/>
  <c r="I15" i="1" s="1"/>
  <c r="AT87" i="2"/>
  <c r="AT35" i="2"/>
  <c r="AP96" i="2"/>
  <c r="AR96" i="2"/>
  <c r="AN68" i="2"/>
  <c r="AO68" i="2"/>
  <c r="AQ96" i="2"/>
  <c r="AT51" i="2"/>
  <c r="AT32" i="2"/>
  <c r="AB56" i="2"/>
  <c r="AT56" i="2" s="1"/>
  <c r="U49" i="2"/>
  <c r="AT49" i="2" s="1"/>
  <c r="Y96" i="2"/>
  <c r="S96" i="2"/>
  <c r="AT25" i="2"/>
  <c r="AT7" i="2"/>
  <c r="AT27" i="2" s="1"/>
  <c r="S46" i="2"/>
  <c r="T46" i="2" s="1"/>
  <c r="U46" i="2" s="1"/>
  <c r="V46" i="2" s="1"/>
  <c r="W46" i="2" s="1"/>
  <c r="X46" i="2" s="1"/>
  <c r="Y46" i="2" s="1"/>
  <c r="Z46" i="2" s="1"/>
  <c r="AA46" i="2" s="1"/>
  <c r="AB46" i="2" s="1"/>
  <c r="AC46" i="2" s="1"/>
  <c r="AD46" i="2" s="1"/>
  <c r="AE46" i="2" s="1"/>
  <c r="AF46" i="2" s="1"/>
  <c r="AG46" i="2" s="1"/>
  <c r="AH46" i="2" s="1"/>
  <c r="AI46" i="2" s="1"/>
  <c r="AJ46" i="2" s="1"/>
  <c r="AK46" i="2" s="1"/>
  <c r="AL46" i="2" s="1"/>
  <c r="AM46" i="2" s="1"/>
  <c r="AN46" i="2" s="1"/>
  <c r="AO46" i="2" s="1"/>
  <c r="AP46" i="2" s="1"/>
  <c r="AQ46" i="2" s="1"/>
  <c r="AR46" i="2" s="1"/>
  <c r="AS46" i="2" s="1"/>
  <c r="X96" i="2"/>
  <c r="X52" i="2"/>
  <c r="AT52" i="2" s="1"/>
  <c r="AD57" i="2"/>
  <c r="T47" i="2"/>
  <c r="U47" i="2" s="1"/>
  <c r="V47" i="2" s="1"/>
  <c r="W47" i="2" s="1"/>
  <c r="X47" i="2" s="1"/>
  <c r="Y47" i="2" s="1"/>
  <c r="Z47" i="2" s="1"/>
  <c r="AA47" i="2" s="1"/>
  <c r="AB47" i="2" s="1"/>
  <c r="AC47" i="2" s="1"/>
  <c r="AD47" i="2" s="1"/>
  <c r="AE47" i="2" s="1"/>
  <c r="AF47" i="2" s="1"/>
  <c r="AG47" i="2" s="1"/>
  <c r="AH47" i="2" s="1"/>
  <c r="AI47" i="2" s="1"/>
  <c r="AJ47" i="2" s="1"/>
  <c r="AK47" i="2" s="1"/>
  <c r="AL47" i="2" s="1"/>
  <c r="AM47" i="2" s="1"/>
  <c r="AN47" i="2" s="1"/>
  <c r="AO47" i="2" s="1"/>
  <c r="AP47" i="2" s="1"/>
  <c r="AQ47" i="2" s="1"/>
  <c r="AR47" i="2" s="1"/>
  <c r="AS47" i="2" s="1"/>
  <c r="Q45" i="2"/>
  <c r="AT45" i="2" s="1"/>
  <c r="T48" i="2"/>
  <c r="AT48" i="2" s="1"/>
  <c r="Y53" i="2"/>
  <c r="AT53" i="2" s="1"/>
  <c r="X116" i="2"/>
  <c r="V96" i="2"/>
  <c r="AC96" i="2"/>
  <c r="T96" i="2"/>
  <c r="AB96" i="2"/>
  <c r="Q44" i="2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AE44" i="2" s="1"/>
  <c r="AF44" i="2" s="1"/>
  <c r="AG44" i="2" s="1"/>
  <c r="AH44" i="2" s="1"/>
  <c r="AI44" i="2" s="1"/>
  <c r="AJ44" i="2" s="1"/>
  <c r="AK44" i="2" s="1"/>
  <c r="AL44" i="2" s="1"/>
  <c r="AM44" i="2" s="1"/>
  <c r="AN44" i="2" s="1"/>
  <c r="AO44" i="2" s="1"/>
  <c r="AP44" i="2" s="1"/>
  <c r="AQ44" i="2" s="1"/>
  <c r="AR44" i="2" s="1"/>
  <c r="AS44" i="2" s="1"/>
  <c r="AE58" i="2"/>
  <c r="AF58" i="2" s="1"/>
  <c r="AG58" i="2" s="1"/>
  <c r="AH58" i="2" s="1"/>
  <c r="AI58" i="2" s="1"/>
  <c r="AJ58" i="2" s="1"/>
  <c r="AK58" i="2" s="1"/>
  <c r="AL58" i="2" s="1"/>
  <c r="AM58" i="2" s="1"/>
  <c r="AN58" i="2" s="1"/>
  <c r="AO58" i="2" s="1"/>
  <c r="AP58" i="2" s="1"/>
  <c r="AQ58" i="2" s="1"/>
  <c r="AR58" i="2" s="1"/>
  <c r="AS58" i="2" s="1"/>
  <c r="AF96" i="2"/>
  <c r="Z54" i="2"/>
  <c r="AT54" i="2" s="1"/>
  <c r="AD96" i="2"/>
  <c r="R96" i="2"/>
  <c r="AA55" i="2"/>
  <c r="AT55" i="2" s="1"/>
  <c r="AG96" i="2"/>
  <c r="Q96" i="2"/>
  <c r="Z96" i="2"/>
  <c r="AE96" i="2"/>
  <c r="AI96" i="2"/>
  <c r="AH96" i="2"/>
  <c r="AJ96" i="2"/>
  <c r="U96" i="2"/>
  <c r="W96" i="2"/>
  <c r="AM83" i="3"/>
  <c r="AD83" i="3"/>
  <c r="R83" i="3"/>
  <c r="Q83" i="3"/>
  <c r="U83" i="3"/>
  <c r="AG83" i="3"/>
  <c r="F68" i="3"/>
  <c r="F182" i="3" s="1"/>
  <c r="G28" i="3"/>
  <c r="S83" i="3"/>
  <c r="P83" i="3"/>
  <c r="Q39" i="3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AF39" i="3" s="1"/>
  <c r="AG39" i="3" s="1"/>
  <c r="AH39" i="3" s="1"/>
  <c r="AI39" i="3" s="1"/>
  <c r="AJ39" i="3" s="1"/>
  <c r="AK39" i="3" s="1"/>
  <c r="AL39" i="3" s="1"/>
  <c r="AM39" i="3" s="1"/>
  <c r="AN39" i="3" s="1"/>
  <c r="AO39" i="3" s="1"/>
  <c r="AP39" i="3" s="1"/>
  <c r="AQ39" i="3" s="1"/>
  <c r="AR39" i="3" s="1"/>
  <c r="P39" i="3"/>
  <c r="AF93" i="3"/>
  <c r="AG105" i="3"/>
  <c r="AB125" i="3"/>
  <c r="AA88" i="3"/>
  <c r="AA177" i="3"/>
  <c r="AK83" i="3"/>
  <c r="AB83" i="3"/>
  <c r="AI83" i="3"/>
  <c r="AF83" i="3"/>
  <c r="AL83" i="3"/>
  <c r="AE89" i="3"/>
  <c r="AF120" i="3"/>
  <c r="AA83" i="3"/>
  <c r="Z83" i="3"/>
  <c r="BL29" i="3"/>
  <c r="AV22" i="3" s="1"/>
  <c r="X83" i="3"/>
  <c r="W83" i="3"/>
  <c r="AL92" i="3"/>
  <c r="AM159" i="3"/>
  <c r="E68" i="3"/>
  <c r="E182" i="3" s="1"/>
  <c r="AS20" i="3"/>
  <c r="AL65" i="2"/>
  <c r="AM65" i="2" s="1"/>
  <c r="AN65" i="2" s="1"/>
  <c r="AO65" i="2" s="1"/>
  <c r="AP65" i="2" s="1"/>
  <c r="AQ65" i="2" s="1"/>
  <c r="AR65" i="2" s="1"/>
  <c r="AS65" i="2" s="1"/>
  <c r="AK65" i="2"/>
  <c r="AN96" i="2"/>
  <c r="M40" i="2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AN40" i="2" s="1"/>
  <c r="AO40" i="2" s="1"/>
  <c r="AP40" i="2" s="1"/>
  <c r="AQ40" i="2" s="1"/>
  <c r="AR40" i="2" s="1"/>
  <c r="AS40" i="2" s="1"/>
  <c r="L40" i="2"/>
  <c r="BL33" i="2"/>
  <c r="N42" i="2"/>
  <c r="O42" i="2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AA42" i="2" s="1"/>
  <c r="AB42" i="2" s="1"/>
  <c r="AC42" i="2" s="1"/>
  <c r="AD42" i="2" s="1"/>
  <c r="AE42" i="2" s="1"/>
  <c r="AF42" i="2" s="1"/>
  <c r="AG42" i="2" s="1"/>
  <c r="AH42" i="2" s="1"/>
  <c r="AI42" i="2" s="1"/>
  <c r="AJ42" i="2" s="1"/>
  <c r="AK42" i="2" s="1"/>
  <c r="AL42" i="2" s="1"/>
  <c r="AM42" i="2" s="1"/>
  <c r="AN42" i="2" s="1"/>
  <c r="AO42" i="2" s="1"/>
  <c r="AP42" i="2" s="1"/>
  <c r="AQ42" i="2" s="1"/>
  <c r="AR42" i="2" s="1"/>
  <c r="AS42" i="2" s="1"/>
  <c r="D31" i="2"/>
  <c r="C31" i="2"/>
  <c r="AH124" i="2"/>
  <c r="AG104" i="2"/>
  <c r="AF108" i="2"/>
  <c r="AG142" i="2"/>
  <c r="AN66" i="2"/>
  <c r="AO66" i="2" s="1"/>
  <c r="AP66" i="2" s="1"/>
  <c r="AQ66" i="2" s="1"/>
  <c r="AR66" i="2" s="1"/>
  <c r="AS66" i="2" s="1"/>
  <c r="AM66" i="2"/>
  <c r="AL66" i="2"/>
  <c r="J37" i="2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AN37" i="2" s="1"/>
  <c r="AO37" i="2" s="1"/>
  <c r="AP37" i="2" s="1"/>
  <c r="AQ37" i="2" s="1"/>
  <c r="AR37" i="2" s="1"/>
  <c r="AS37" i="2" s="1"/>
  <c r="I37" i="2"/>
  <c r="Y100" i="2"/>
  <c r="Z155" i="2"/>
  <c r="F33" i="2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AO33" i="2" s="1"/>
  <c r="AP33" i="2" s="1"/>
  <c r="AQ33" i="2" s="1"/>
  <c r="AR33" i="2" s="1"/>
  <c r="AS33" i="2" s="1"/>
  <c r="E33" i="2"/>
  <c r="D86" i="2"/>
  <c r="D96" i="2" s="1"/>
  <c r="O43" i="2"/>
  <c r="P43" i="2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AN43" i="2" s="1"/>
  <c r="AO43" i="2" s="1"/>
  <c r="AP43" i="2" s="1"/>
  <c r="AQ43" i="2" s="1"/>
  <c r="AR43" i="2" s="1"/>
  <c r="AS43" i="2" s="1"/>
  <c r="I36" i="2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AN36" i="2" s="1"/>
  <c r="AO36" i="2" s="1"/>
  <c r="AP36" i="2" s="1"/>
  <c r="AQ36" i="2" s="1"/>
  <c r="AR36" i="2" s="1"/>
  <c r="AS36" i="2" s="1"/>
  <c r="H36" i="2"/>
  <c r="AK96" i="2"/>
  <c r="BL30" i="2"/>
  <c r="BL34" i="2" s="1"/>
  <c r="C96" i="2"/>
  <c r="AL96" i="2"/>
  <c r="F34" i="2"/>
  <c r="G34" i="2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AB34" i="2" s="1"/>
  <c r="AC34" i="2" s="1"/>
  <c r="AD34" i="2" s="1"/>
  <c r="AE34" i="2" s="1"/>
  <c r="AF34" i="2" s="1"/>
  <c r="AG34" i="2" s="1"/>
  <c r="AH34" i="2" s="1"/>
  <c r="AI34" i="2" s="1"/>
  <c r="AJ34" i="2" s="1"/>
  <c r="AK34" i="2" s="1"/>
  <c r="AL34" i="2" s="1"/>
  <c r="AM34" i="2" s="1"/>
  <c r="AN34" i="2" s="1"/>
  <c r="AO34" i="2" s="1"/>
  <c r="AP34" i="2" s="1"/>
  <c r="AQ34" i="2" s="1"/>
  <c r="AR34" i="2" s="1"/>
  <c r="AS34" i="2" s="1"/>
  <c r="AE106" i="2"/>
  <c r="AF149" i="2"/>
  <c r="AK107" i="2"/>
  <c r="AL178" i="2"/>
  <c r="Y204" i="2"/>
  <c r="Z119" i="2"/>
  <c r="Y103" i="2"/>
  <c r="AM96" i="2"/>
  <c r="L39" i="2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  <c r="AI39" i="2" s="1"/>
  <c r="AJ39" i="2" s="1"/>
  <c r="AK39" i="2" s="1"/>
  <c r="AL39" i="2" s="1"/>
  <c r="AM39" i="2" s="1"/>
  <c r="AN39" i="2" s="1"/>
  <c r="AO39" i="2" s="1"/>
  <c r="AP39" i="2" s="1"/>
  <c r="AQ39" i="2" s="1"/>
  <c r="AR39" i="2" s="1"/>
  <c r="AS39" i="2" s="1"/>
  <c r="K39" i="2"/>
  <c r="W50" i="2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AL50" i="2" s="1"/>
  <c r="AM50" i="2" s="1"/>
  <c r="AN50" i="2" s="1"/>
  <c r="AO50" i="2" s="1"/>
  <c r="AP50" i="2" s="1"/>
  <c r="AQ50" i="2" s="1"/>
  <c r="AR50" i="2" s="1"/>
  <c r="AS50" i="2" s="1"/>
  <c r="V50" i="2"/>
  <c r="AS25" i="6" l="1"/>
  <c r="G15" i="1"/>
  <c r="AS71" i="6"/>
  <c r="AS30" i="7"/>
  <c r="AS59" i="3"/>
  <c r="AS24" i="6"/>
  <c r="AS17" i="7"/>
  <c r="G24" i="1"/>
  <c r="AR166" i="2"/>
  <c r="AP68" i="2"/>
  <c r="AS34" i="6"/>
  <c r="H14" i="1" s="1"/>
  <c r="H26" i="1" s="1"/>
  <c r="AQ47" i="6"/>
  <c r="AS47" i="6" s="1"/>
  <c r="AM92" i="3"/>
  <c r="AN159" i="3"/>
  <c r="AR160" i="3"/>
  <c r="AS160" i="3" s="1"/>
  <c r="AS83" i="3"/>
  <c r="AQ61" i="3"/>
  <c r="AS39" i="3"/>
  <c r="AS37" i="3"/>
  <c r="AJ145" i="3"/>
  <c r="AI91" i="3"/>
  <c r="AV23" i="3"/>
  <c r="AV24" i="3" s="1"/>
  <c r="AT62" i="2"/>
  <c r="AT37" i="2"/>
  <c r="AT65" i="2"/>
  <c r="AT40" i="2"/>
  <c r="AT43" i="2"/>
  <c r="AT66" i="2"/>
  <c r="AT33" i="2"/>
  <c r="AT46" i="2"/>
  <c r="AT42" i="2"/>
  <c r="AT36" i="2"/>
  <c r="AT86" i="2"/>
  <c r="AT96" i="2" s="1"/>
  <c r="AT39" i="2"/>
  <c r="AE57" i="2"/>
  <c r="AF57" i="2" s="1"/>
  <c r="AG57" i="2" s="1"/>
  <c r="AH57" i="2" s="1"/>
  <c r="AI57" i="2" s="1"/>
  <c r="AJ57" i="2" s="1"/>
  <c r="AK57" i="2" s="1"/>
  <c r="AL57" i="2" s="1"/>
  <c r="AM57" i="2" s="1"/>
  <c r="AN57" i="2" s="1"/>
  <c r="AO57" i="2" s="1"/>
  <c r="AP57" i="2" s="1"/>
  <c r="AQ57" i="2" s="1"/>
  <c r="AR57" i="2" s="1"/>
  <c r="AS57" i="2" s="1"/>
  <c r="AT34" i="2"/>
  <c r="AT44" i="2"/>
  <c r="AT50" i="2"/>
  <c r="AT58" i="2"/>
  <c r="AT47" i="2"/>
  <c r="AC125" i="3"/>
  <c r="AB88" i="3"/>
  <c r="AB177" i="3"/>
  <c r="AF89" i="3"/>
  <c r="AG120" i="3"/>
  <c r="AG93" i="3"/>
  <c r="AH105" i="3"/>
  <c r="AA97" i="3"/>
  <c r="G68" i="3"/>
  <c r="G182" i="3" s="1"/>
  <c r="H28" i="3"/>
  <c r="AL107" i="2"/>
  <c r="AM178" i="2"/>
  <c r="AM107" i="2" s="1"/>
  <c r="AV38" i="2"/>
  <c r="AV24" i="2"/>
  <c r="C74" i="2"/>
  <c r="C209" i="2" s="1"/>
  <c r="AG108" i="2"/>
  <c r="AH142" i="2"/>
  <c r="D74" i="2"/>
  <c r="D209" i="2" s="1"/>
  <c r="E31" i="2"/>
  <c r="Z204" i="2"/>
  <c r="AA119" i="2"/>
  <c r="Z103" i="2"/>
  <c r="Z100" i="2"/>
  <c r="AA155" i="2"/>
  <c r="Y116" i="2"/>
  <c r="AG149" i="2"/>
  <c r="AF106" i="2"/>
  <c r="AI124" i="2"/>
  <c r="AH104" i="2"/>
  <c r="AV40" i="2"/>
  <c r="AV25" i="2"/>
  <c r="AS48" i="6" l="1"/>
  <c r="G26" i="1"/>
  <c r="H28" i="1"/>
  <c r="H29" i="1" s="1"/>
  <c r="AS166" i="2"/>
  <c r="AQ68" i="2"/>
  <c r="AB97" i="3"/>
  <c r="AN92" i="3"/>
  <c r="AO159" i="3"/>
  <c r="AR61" i="3"/>
  <c r="AS61" i="3"/>
  <c r="AV29" i="3"/>
  <c r="AV30" i="3" s="1"/>
  <c r="AV31" i="3" s="1"/>
  <c r="AK145" i="3"/>
  <c r="AJ91" i="3"/>
  <c r="AT57" i="2"/>
  <c r="AH93" i="3"/>
  <c r="AI105" i="3"/>
  <c r="AC88" i="3"/>
  <c r="AC97" i="3" s="1"/>
  <c r="AD125" i="3"/>
  <c r="AC177" i="3"/>
  <c r="H68" i="3"/>
  <c r="H182" i="3" s="1"/>
  <c r="I28" i="3"/>
  <c r="AH120" i="3"/>
  <c r="AG89" i="3"/>
  <c r="E74" i="2"/>
  <c r="E209" i="2" s="1"/>
  <c r="F31" i="2"/>
  <c r="AV42" i="2"/>
  <c r="AA204" i="2"/>
  <c r="AB119" i="2"/>
  <c r="AA103" i="2"/>
  <c r="AV27" i="2"/>
  <c r="AJ124" i="2"/>
  <c r="AI104" i="2"/>
  <c r="AA100" i="2"/>
  <c r="AB155" i="2"/>
  <c r="AG106" i="2"/>
  <c r="AH149" i="2"/>
  <c r="Z116" i="2"/>
  <c r="AI142" i="2"/>
  <c r="AH108" i="2"/>
  <c r="AN178" i="2"/>
  <c r="AO178" i="2" l="1"/>
  <c r="AO107" i="2" s="1"/>
  <c r="AN107" i="2"/>
  <c r="G28" i="1"/>
  <c r="G29" i="1" s="1"/>
  <c r="AP178" i="2"/>
  <c r="AP107" i="2" s="1"/>
  <c r="AT166" i="2"/>
  <c r="AR68" i="2"/>
  <c r="AO92" i="3"/>
  <c r="AP159" i="3"/>
  <c r="AK91" i="3"/>
  <c r="AL145" i="3"/>
  <c r="AD88" i="3"/>
  <c r="AE125" i="3"/>
  <c r="AD177" i="3"/>
  <c r="AJ105" i="3"/>
  <c r="AI93" i="3"/>
  <c r="I68" i="3"/>
  <c r="I182" i="3" s="1"/>
  <c r="J28" i="3"/>
  <c r="AI120" i="3"/>
  <c r="AH89" i="3"/>
  <c r="AV28" i="2"/>
  <c r="AV32" i="2"/>
  <c r="AV34" i="2" s="1"/>
  <c r="AV35" i="2" s="1"/>
  <c r="AC119" i="2"/>
  <c r="AB103" i="2"/>
  <c r="AB204" i="2"/>
  <c r="AB100" i="2"/>
  <c r="AC155" i="2"/>
  <c r="AA116" i="2"/>
  <c r="F74" i="2"/>
  <c r="F209" i="2" s="1"/>
  <c r="G31" i="2"/>
  <c r="AJ142" i="2"/>
  <c r="AI108" i="2"/>
  <c r="AH106" i="2"/>
  <c r="AI149" i="2"/>
  <c r="AK124" i="2"/>
  <c r="AJ104" i="2"/>
  <c r="AQ178" i="2" l="1"/>
  <c r="AQ107" i="2" s="1"/>
  <c r="AS68" i="2"/>
  <c r="AP92" i="3"/>
  <c r="AQ159" i="3"/>
  <c r="AL91" i="3"/>
  <c r="AM145" i="3"/>
  <c r="AJ120" i="3"/>
  <c r="AI89" i="3"/>
  <c r="AE88" i="3"/>
  <c r="AE97" i="3" s="1"/>
  <c r="AF125" i="3"/>
  <c r="AE177" i="3"/>
  <c r="AK105" i="3"/>
  <c r="AJ93" i="3"/>
  <c r="J68" i="3"/>
  <c r="J182" i="3" s="1"/>
  <c r="K28" i="3"/>
  <c r="AD97" i="3"/>
  <c r="AD155" i="2"/>
  <c r="AC100" i="2"/>
  <c r="AK142" i="2"/>
  <c r="AJ108" i="2"/>
  <c r="AL124" i="2"/>
  <c r="AK104" i="2"/>
  <c r="AI106" i="2"/>
  <c r="AJ149" i="2"/>
  <c r="AB116" i="2"/>
  <c r="AD119" i="2"/>
  <c r="AC103" i="2"/>
  <c r="AC204" i="2"/>
  <c r="G74" i="2"/>
  <c r="G209" i="2" s="1"/>
  <c r="H31" i="2"/>
  <c r="AR178" i="2" l="1"/>
  <c r="AR107" i="2" s="1"/>
  <c r="AT68" i="2"/>
  <c r="AQ92" i="3"/>
  <c r="AR159" i="3"/>
  <c r="AM91" i="3"/>
  <c r="AN145" i="3"/>
  <c r="AK93" i="3"/>
  <c r="AL105" i="3"/>
  <c r="AG125" i="3"/>
  <c r="AF88" i="3"/>
  <c r="AF177" i="3"/>
  <c r="K68" i="3"/>
  <c r="K182" i="3" s="1"/>
  <c r="L28" i="3"/>
  <c r="AJ89" i="3"/>
  <c r="AK120" i="3"/>
  <c r="AL142" i="2"/>
  <c r="AK108" i="2"/>
  <c r="AL104" i="2"/>
  <c r="AM124" i="2"/>
  <c r="H74" i="2"/>
  <c r="H209" i="2" s="1"/>
  <c r="I31" i="2"/>
  <c r="AC116" i="2"/>
  <c r="AE155" i="2"/>
  <c r="AD100" i="2"/>
  <c r="AD204" i="2"/>
  <c r="AD103" i="2"/>
  <c r="AE119" i="2"/>
  <c r="AJ106" i="2"/>
  <c r="AK149" i="2"/>
  <c r="AS178" i="2" l="1"/>
  <c r="AS107" i="2" s="1"/>
  <c r="AR92" i="3"/>
  <c r="AS92" i="3" s="1"/>
  <c r="AS159" i="3"/>
  <c r="AO145" i="3"/>
  <c r="AN91" i="3"/>
  <c r="AF97" i="3"/>
  <c r="AH125" i="3"/>
  <c r="AG88" i="3"/>
  <c r="AG97" i="3" s="1"/>
  <c r="AG177" i="3"/>
  <c r="L68" i="3"/>
  <c r="L182" i="3" s="1"/>
  <c r="M28" i="3"/>
  <c r="AL93" i="3"/>
  <c r="AM105" i="3"/>
  <c r="AK89" i="3"/>
  <c r="AL120" i="3"/>
  <c r="AE100" i="2"/>
  <c r="AF155" i="2"/>
  <c r="AK106" i="2"/>
  <c r="AL149" i="2"/>
  <c r="J31" i="2"/>
  <c r="I74" i="2"/>
  <c r="I209" i="2" s="1"/>
  <c r="AE204" i="2"/>
  <c r="AE103" i="2"/>
  <c r="AF119" i="2"/>
  <c r="AM104" i="2"/>
  <c r="AN124" i="2"/>
  <c r="AO124" i="2" s="1"/>
  <c r="AD116" i="2"/>
  <c r="AL108" i="2"/>
  <c r="AM142" i="2"/>
  <c r="AM108" i="2" s="1"/>
  <c r="AP124" i="2" l="1"/>
  <c r="AO104" i="2"/>
  <c r="AT178" i="2"/>
  <c r="AT107" i="2" s="1"/>
  <c r="I17" i="1" s="1"/>
  <c r="AM93" i="3"/>
  <c r="AN105" i="3"/>
  <c r="AP145" i="3"/>
  <c r="AO91" i="3"/>
  <c r="M68" i="3"/>
  <c r="M182" i="3" s="1"/>
  <c r="N28" i="3"/>
  <c r="AL89" i="3"/>
  <c r="AM120" i="3"/>
  <c r="AI125" i="3"/>
  <c r="AH88" i="3"/>
  <c r="AH97" i="3" s="1"/>
  <c r="AH177" i="3"/>
  <c r="AN142" i="2"/>
  <c r="J74" i="2"/>
  <c r="J209" i="2" s="1"/>
  <c r="K31" i="2"/>
  <c r="AN104" i="2"/>
  <c r="AL106" i="2"/>
  <c r="AM149" i="2"/>
  <c r="AM106" i="2" s="1"/>
  <c r="AF204" i="2"/>
  <c r="AG119" i="2"/>
  <c r="AF103" i="2"/>
  <c r="AF100" i="2"/>
  <c r="AG155" i="2"/>
  <c r="AE116" i="2"/>
  <c r="AO142" i="2" l="1"/>
  <c r="AO108" i="2" s="1"/>
  <c r="AN108" i="2"/>
  <c r="AQ124" i="2"/>
  <c r="AP104" i="2"/>
  <c r="AQ145" i="3"/>
  <c r="AP91" i="3"/>
  <c r="AO105" i="3"/>
  <c r="AN93" i="3"/>
  <c r="AM89" i="3"/>
  <c r="AN120" i="3"/>
  <c r="AF116" i="2"/>
  <c r="O28" i="3"/>
  <c r="N68" i="3"/>
  <c r="N182" i="3" s="1"/>
  <c r="AJ125" i="3"/>
  <c r="AI88" i="3"/>
  <c r="AI97" i="3" s="1"/>
  <c r="AI177" i="3"/>
  <c r="AG100" i="2"/>
  <c r="AH155" i="2"/>
  <c r="K74" i="2"/>
  <c r="K209" i="2" s="1"/>
  <c r="L31" i="2"/>
  <c r="AG204" i="2"/>
  <c r="AH119" i="2"/>
  <c r="AG103" i="2"/>
  <c r="AN149" i="2"/>
  <c r="AP142" i="2" l="1"/>
  <c r="AP108" i="2" s="1"/>
  <c r="AO149" i="2"/>
  <c r="AO106" i="2" s="1"/>
  <c r="AN106" i="2"/>
  <c r="AP149" i="2"/>
  <c r="AP106" i="2" s="1"/>
  <c r="AR124" i="2"/>
  <c r="AQ104" i="2"/>
  <c r="AQ142" i="2"/>
  <c r="AQ108" i="2" s="1"/>
  <c r="AO120" i="3"/>
  <c r="AN89" i="3"/>
  <c r="AP105" i="3"/>
  <c r="AO93" i="3"/>
  <c r="AR145" i="3"/>
  <c r="AQ91" i="3"/>
  <c r="AK125" i="3"/>
  <c r="AJ88" i="3"/>
  <c r="AJ97" i="3" s="1"/>
  <c r="AJ177" i="3"/>
  <c r="O68" i="3"/>
  <c r="O182" i="3" s="1"/>
  <c r="P28" i="3"/>
  <c r="L74" i="2"/>
  <c r="L209" i="2" s="1"/>
  <c r="M31" i="2"/>
  <c r="AH100" i="2"/>
  <c r="AI155" i="2"/>
  <c r="AH204" i="2"/>
  <c r="AI119" i="2"/>
  <c r="AH103" i="2"/>
  <c r="AG116" i="2"/>
  <c r="AR142" i="2" l="1"/>
  <c r="AR108" i="2" s="1"/>
  <c r="AS124" i="2"/>
  <c r="AR104" i="2"/>
  <c r="AQ149" i="2"/>
  <c r="AQ106" i="2" s="1"/>
  <c r="AR91" i="3"/>
  <c r="AS145" i="3"/>
  <c r="AQ105" i="3"/>
  <c r="AP93" i="3"/>
  <c r="AP120" i="3"/>
  <c r="AO89" i="3"/>
  <c r="AH116" i="2"/>
  <c r="P68" i="3"/>
  <c r="P182" i="3" s="1"/>
  <c r="Q28" i="3"/>
  <c r="AK88" i="3"/>
  <c r="AK97" i="3" s="1"/>
  <c r="AL125" i="3"/>
  <c r="AK177" i="3"/>
  <c r="M74" i="2"/>
  <c r="M209" i="2" s="1"/>
  <c r="N31" i="2"/>
  <c r="AI204" i="2"/>
  <c r="AJ119" i="2"/>
  <c r="AI103" i="2"/>
  <c r="AI100" i="2"/>
  <c r="AJ155" i="2"/>
  <c r="AR149" i="2" l="1"/>
  <c r="AR106" i="2" s="1"/>
  <c r="AS104" i="2"/>
  <c r="AT124" i="2"/>
  <c r="AT104" i="2" s="1"/>
  <c r="I14" i="1" s="1"/>
  <c r="AS142" i="2"/>
  <c r="AS108" i="2" s="1"/>
  <c r="AQ120" i="3"/>
  <c r="AP89" i="3"/>
  <c r="AR105" i="3"/>
  <c r="AQ93" i="3"/>
  <c r="AS91" i="3"/>
  <c r="I25" i="1" s="1"/>
  <c r="AI116" i="2"/>
  <c r="Q68" i="3"/>
  <c r="Q182" i="3" s="1"/>
  <c r="R28" i="3"/>
  <c r="AL88" i="3"/>
  <c r="AL97" i="3" s="1"/>
  <c r="AM125" i="3"/>
  <c r="AL177" i="3"/>
  <c r="AK119" i="2"/>
  <c r="AJ103" i="2"/>
  <c r="AJ204" i="2"/>
  <c r="N74" i="2"/>
  <c r="N209" i="2" s="1"/>
  <c r="O31" i="2"/>
  <c r="AJ100" i="2"/>
  <c r="AK155" i="2"/>
  <c r="AT142" i="2" l="1"/>
  <c r="AT108" i="2" s="1"/>
  <c r="AS149" i="2"/>
  <c r="AS106" i="2" s="1"/>
  <c r="AR93" i="3"/>
  <c r="AS93" i="3" s="1"/>
  <c r="I23" i="1" s="1"/>
  <c r="AS105" i="3"/>
  <c r="AM88" i="3"/>
  <c r="AN125" i="3"/>
  <c r="AM177" i="3"/>
  <c r="AR120" i="3"/>
  <c r="AQ89" i="3"/>
  <c r="AJ116" i="2"/>
  <c r="R68" i="3"/>
  <c r="R182" i="3" s="1"/>
  <c r="S28" i="3"/>
  <c r="AL155" i="2"/>
  <c r="AK100" i="2"/>
  <c r="O74" i="2"/>
  <c r="O209" i="2" s="1"/>
  <c r="P31" i="2"/>
  <c r="AL119" i="2"/>
  <c r="AK103" i="2"/>
  <c r="AK204" i="2"/>
  <c r="AT149" i="2" l="1"/>
  <c r="AT106" i="2" s="1"/>
  <c r="AR89" i="3"/>
  <c r="AS89" i="3" s="1"/>
  <c r="AS120" i="3"/>
  <c r="AO125" i="3"/>
  <c r="AO177" i="3" s="1"/>
  <c r="AN88" i="3"/>
  <c r="AN97" i="3" s="1"/>
  <c r="AN177" i="3"/>
  <c r="S68" i="3"/>
  <c r="S182" i="3" s="1"/>
  <c r="T28" i="3"/>
  <c r="AM97" i="3"/>
  <c r="AL204" i="2"/>
  <c r="AL103" i="2"/>
  <c r="AM119" i="2"/>
  <c r="P74" i="2"/>
  <c r="P209" i="2" s="1"/>
  <c r="Q31" i="2"/>
  <c r="AK116" i="2"/>
  <c r="AM155" i="2"/>
  <c r="AL100" i="2"/>
  <c r="AM204" i="2" l="1"/>
  <c r="AP125" i="3"/>
  <c r="AP177" i="3" s="1"/>
  <c r="AO88" i="3"/>
  <c r="AO97" i="3" s="1"/>
  <c r="AL116" i="2"/>
  <c r="T68" i="3"/>
  <c r="T182" i="3" s="1"/>
  <c r="U28" i="3"/>
  <c r="R31" i="2"/>
  <c r="Q74" i="2"/>
  <c r="Q209" i="2" s="1"/>
  <c r="AM100" i="2"/>
  <c r="AN155" i="2"/>
  <c r="AO155" i="2" s="1"/>
  <c r="AM103" i="2"/>
  <c r="AN119" i="2"/>
  <c r="AN204" i="2" l="1"/>
  <c r="AO119" i="2"/>
  <c r="AO204" i="2" s="1"/>
  <c r="AP119" i="2"/>
  <c r="AO103" i="2"/>
  <c r="AP155" i="2"/>
  <c r="AO100" i="2"/>
  <c r="AQ125" i="3"/>
  <c r="AQ177" i="3" s="1"/>
  <c r="AP88" i="3"/>
  <c r="AP97" i="3" s="1"/>
  <c r="U68" i="3"/>
  <c r="U182" i="3" s="1"/>
  <c r="V28" i="3"/>
  <c r="AN100" i="2"/>
  <c r="AN103" i="2"/>
  <c r="AM116" i="2"/>
  <c r="R74" i="2"/>
  <c r="R209" i="2" s="1"/>
  <c r="S31" i="2"/>
  <c r="AP204" i="2" l="1"/>
  <c r="AO116" i="2"/>
  <c r="AQ155" i="2"/>
  <c r="AP100" i="2"/>
  <c r="AQ119" i="2"/>
  <c r="AQ204" i="2" s="1"/>
  <c r="AP103" i="2"/>
  <c r="AR125" i="3"/>
  <c r="AR177" i="3" s="1"/>
  <c r="AQ88" i="3"/>
  <c r="AQ97" i="3" s="1"/>
  <c r="V68" i="3"/>
  <c r="V182" i="3" s="1"/>
  <c r="W28" i="3"/>
  <c r="S74" i="2"/>
  <c r="S209" i="2" s="1"/>
  <c r="T31" i="2"/>
  <c r="AN116" i="2"/>
  <c r="AR119" i="2" l="1"/>
  <c r="AQ103" i="2"/>
  <c r="AP116" i="2"/>
  <c r="AR155" i="2"/>
  <c r="AQ100" i="2"/>
  <c r="AQ116" i="2" s="1"/>
  <c r="AR88" i="3"/>
  <c r="AS125" i="3"/>
  <c r="AS177" i="3" s="1"/>
  <c r="W68" i="3"/>
  <c r="W182" i="3" s="1"/>
  <c r="X28" i="3"/>
  <c r="T74" i="2"/>
  <c r="T209" i="2" s="1"/>
  <c r="U31" i="2"/>
  <c r="AR204" i="2" l="1"/>
  <c r="AS155" i="2"/>
  <c r="AR100" i="2"/>
  <c r="AS119" i="2"/>
  <c r="AS204" i="2" s="1"/>
  <c r="AR103" i="2"/>
  <c r="AS88" i="3"/>
  <c r="I24" i="1" s="1"/>
  <c r="AR97" i="3"/>
  <c r="AS97" i="3" s="1"/>
  <c r="AS178" i="3"/>
  <c r="X68" i="3"/>
  <c r="X182" i="3" s="1"/>
  <c r="Y28" i="3"/>
  <c r="U74" i="2"/>
  <c r="U209" i="2" s="1"/>
  <c r="V31" i="2"/>
  <c r="AT119" i="2" l="1"/>
  <c r="AS103" i="2"/>
  <c r="AR116" i="2"/>
  <c r="AT155" i="2"/>
  <c r="AT100" i="2" s="1"/>
  <c r="I16" i="1" s="1"/>
  <c r="I26" i="1" s="1"/>
  <c r="AS100" i="2"/>
  <c r="Y68" i="3"/>
  <c r="Y182" i="3" s="1"/>
  <c r="Z28" i="3"/>
  <c r="V74" i="2"/>
  <c r="V209" i="2" s="1"/>
  <c r="W31" i="2"/>
  <c r="AS116" i="2" l="1"/>
  <c r="AT205" i="2"/>
  <c r="AT204" i="2"/>
  <c r="AT103" i="2"/>
  <c r="AT116" i="2" s="1"/>
  <c r="AU111" i="2" s="1"/>
  <c r="Z68" i="3"/>
  <c r="Z182" i="3" s="1"/>
  <c r="AA28" i="3"/>
  <c r="W74" i="2"/>
  <c r="W209" i="2" s="1"/>
  <c r="X31" i="2"/>
  <c r="AA68" i="3" l="1"/>
  <c r="AA182" i="3" s="1"/>
  <c r="AB28" i="3"/>
  <c r="X74" i="2"/>
  <c r="X209" i="2" s="1"/>
  <c r="Y31" i="2"/>
  <c r="AB68" i="3" l="1"/>
  <c r="AB182" i="3" s="1"/>
  <c r="AC28" i="3"/>
  <c r="Y74" i="2"/>
  <c r="Y209" i="2" s="1"/>
  <c r="Z31" i="2"/>
  <c r="AC68" i="3" l="1"/>
  <c r="AC182" i="3" s="1"/>
  <c r="AD28" i="3"/>
  <c r="Z74" i="2"/>
  <c r="Z209" i="2" s="1"/>
  <c r="AA31" i="2"/>
  <c r="AD68" i="3" l="1"/>
  <c r="AD182" i="3" s="1"/>
  <c r="AE28" i="3"/>
  <c r="AA74" i="2"/>
  <c r="AA209" i="2" s="1"/>
  <c r="AB31" i="2"/>
  <c r="AE68" i="3" l="1"/>
  <c r="AE182" i="3" s="1"/>
  <c r="AF28" i="3"/>
  <c r="AB74" i="2"/>
  <c r="AB209" i="2" s="1"/>
  <c r="AC31" i="2"/>
  <c r="AF68" i="3" l="1"/>
  <c r="AF182" i="3" s="1"/>
  <c r="AG28" i="3"/>
  <c r="AC74" i="2"/>
  <c r="AC209" i="2" s="1"/>
  <c r="AD31" i="2"/>
  <c r="AG68" i="3" l="1"/>
  <c r="AG182" i="3" s="1"/>
  <c r="AH28" i="3"/>
  <c r="AD74" i="2"/>
  <c r="AD209" i="2" s="1"/>
  <c r="AE31" i="2"/>
  <c r="AH68" i="3" l="1"/>
  <c r="AH182" i="3" s="1"/>
  <c r="AI28" i="3"/>
  <c r="AE74" i="2"/>
  <c r="AE209" i="2" s="1"/>
  <c r="AF31" i="2"/>
  <c r="AI68" i="3" l="1"/>
  <c r="AI182" i="3" s="1"/>
  <c r="AJ28" i="3"/>
  <c r="AF74" i="2"/>
  <c r="AF209" i="2" s="1"/>
  <c r="AG31" i="2"/>
  <c r="AJ68" i="3" l="1"/>
  <c r="AJ182" i="3" s="1"/>
  <c r="AK28" i="3"/>
  <c r="AG74" i="2"/>
  <c r="AG209" i="2" s="1"/>
  <c r="AH31" i="2"/>
  <c r="AK68" i="3" l="1"/>
  <c r="AK182" i="3" s="1"/>
  <c r="AL28" i="3"/>
  <c r="AI31" i="2"/>
  <c r="AH74" i="2"/>
  <c r="AH209" i="2" s="1"/>
  <c r="AL68" i="3" l="1"/>
  <c r="AL182" i="3" s="1"/>
  <c r="AM28" i="3"/>
  <c r="AI74" i="2"/>
  <c r="AI209" i="2" s="1"/>
  <c r="AJ31" i="2"/>
  <c r="AN28" i="3" l="1"/>
  <c r="AM68" i="3"/>
  <c r="AM182" i="3" s="1"/>
  <c r="AJ74" i="2"/>
  <c r="AJ209" i="2" s="1"/>
  <c r="AK31" i="2"/>
  <c r="AO28" i="3" l="1"/>
  <c r="AN68" i="3"/>
  <c r="AN182" i="3" s="1"/>
  <c r="AK74" i="2"/>
  <c r="AK209" i="2" s="1"/>
  <c r="AL31" i="2"/>
  <c r="AP28" i="3" l="1"/>
  <c r="AO68" i="3"/>
  <c r="AO182" i="3" s="1"/>
  <c r="AL74" i="2"/>
  <c r="AL209" i="2" s="1"/>
  <c r="AM31" i="2"/>
  <c r="AQ28" i="3" l="1"/>
  <c r="AP68" i="3"/>
  <c r="AP182" i="3" s="1"/>
  <c r="AM74" i="2"/>
  <c r="AM209" i="2" s="1"/>
  <c r="AN31" i="2"/>
  <c r="AO31" i="2" s="1"/>
  <c r="AP31" i="2" l="1"/>
  <c r="AO74" i="2"/>
  <c r="AO209" i="2" s="1"/>
  <c r="AR28" i="3"/>
  <c r="AQ68" i="3"/>
  <c r="AQ182" i="3" s="1"/>
  <c r="AN74" i="2"/>
  <c r="AN209" i="2" s="1"/>
  <c r="AQ31" i="2" l="1"/>
  <c r="AP74" i="2"/>
  <c r="AP209" i="2" s="1"/>
  <c r="AS28" i="3"/>
  <c r="AS68" i="3" s="1"/>
  <c r="AS182" i="3" s="1"/>
  <c r="AR68" i="3"/>
  <c r="AR182" i="3" s="1"/>
  <c r="AS183" i="3" s="1"/>
  <c r="AR31" i="2" l="1"/>
  <c r="AQ74" i="2"/>
  <c r="AQ209" i="2" s="1"/>
  <c r="AS185" i="3"/>
  <c r="AS31" i="2" l="1"/>
  <c r="AR74" i="2"/>
  <c r="AR209" i="2" s="1"/>
  <c r="AT31" i="2" l="1"/>
  <c r="AS74" i="2"/>
  <c r="AS209" i="2" s="1"/>
  <c r="AT210" i="2" s="1"/>
  <c r="AT212" i="2" l="1"/>
  <c r="AT74" i="2"/>
  <c r="AT75" i="2"/>
  <c r="I28" i="1" l="1"/>
  <c r="I29" i="1" s="1"/>
  <c r="AT209" i="2"/>
</calcChain>
</file>

<file path=xl/sharedStrings.xml><?xml version="1.0" encoding="utf-8"?>
<sst xmlns="http://schemas.openxmlformats.org/spreadsheetml/2006/main" count="963" uniqueCount="527">
  <si>
    <t>Docket No. xxxx</t>
  </si>
  <si>
    <t>Historical Participation and Achievements</t>
  </si>
  <si>
    <t>Exhibit JNF-1, Page 1 of 1</t>
  </si>
  <si>
    <r>
      <t>Cumulative - Inception to Year-End 2023</t>
    </r>
    <r>
      <rPr>
        <b/>
        <vertAlign val="superscript"/>
        <sz val="11"/>
        <color theme="1"/>
        <rFont val="Times New Roman"/>
        <family val="1"/>
      </rPr>
      <t>*</t>
    </r>
  </si>
  <si>
    <t>Current DSM Programs</t>
  </si>
  <si>
    <t>Inception Date</t>
  </si>
  <si>
    <t>Participants</t>
  </si>
  <si>
    <t>Summer MW</t>
  </si>
  <si>
    <t>Winter MW</t>
  </si>
  <si>
    <t>GWh</t>
  </si>
  <si>
    <t>Residential</t>
  </si>
  <si>
    <r>
      <t>Home Energy Survey</t>
    </r>
    <r>
      <rPr>
        <b/>
        <vertAlign val="superscript"/>
        <sz val="10"/>
        <rFont val="Times New Roman"/>
        <family val="1"/>
      </rPr>
      <t>**</t>
    </r>
  </si>
  <si>
    <t xml:space="preserve">n/a  </t>
  </si>
  <si>
    <r>
      <t>Load Management (On Call</t>
    </r>
    <r>
      <rPr>
        <b/>
        <sz val="12"/>
        <rFont val="Calibri"/>
        <family val="2"/>
      </rPr>
      <t>®</t>
    </r>
    <r>
      <rPr>
        <b/>
        <sz val="10"/>
        <rFont val="Times New Roman"/>
        <family val="1"/>
      </rPr>
      <t>)</t>
    </r>
  </si>
  <si>
    <t>Air Conditioning</t>
  </si>
  <si>
    <r>
      <t>New Construction (BuildSmart</t>
    </r>
    <r>
      <rPr>
        <b/>
        <sz val="12"/>
        <rFont val="Calibri"/>
        <family val="2"/>
      </rPr>
      <t>®</t>
    </r>
    <r>
      <rPr>
        <b/>
        <sz val="10"/>
        <rFont val="Times New Roman"/>
        <family val="1"/>
      </rPr>
      <t>)</t>
    </r>
  </si>
  <si>
    <t>Ceiling Insulation</t>
  </si>
  <si>
    <t>Low Income</t>
  </si>
  <si>
    <t>Business</t>
  </si>
  <si>
    <r>
      <t>Business Energy Evaluation</t>
    </r>
    <r>
      <rPr>
        <b/>
        <vertAlign val="superscript"/>
        <sz val="10"/>
        <rFont val="Times New Roman"/>
        <family val="1"/>
      </rPr>
      <t>**</t>
    </r>
  </si>
  <si>
    <t>Commercial/Industrial Demand Reduction</t>
  </si>
  <si>
    <t>Commercial/Industrial Load Control</t>
  </si>
  <si>
    <t>Business On Call</t>
  </si>
  <si>
    <t>Heating, Ventilating &amp; Air Conditioning</t>
  </si>
  <si>
    <t>Lighting</t>
  </si>
  <si>
    <t>Custom Incentive</t>
  </si>
  <si>
    <t>Current DSM Programs Total</t>
  </si>
  <si>
    <r>
      <t>Discontinued DSM Programs</t>
    </r>
    <r>
      <rPr>
        <b/>
        <vertAlign val="superscript"/>
        <sz val="11"/>
        <color theme="1"/>
        <rFont val="Times New Roman"/>
        <family val="1"/>
      </rPr>
      <t>***</t>
    </r>
  </si>
  <si>
    <t xml:space="preserve">Grand Total </t>
  </si>
  <si>
    <t>Notes:</t>
  </si>
  <si>
    <r>
      <rPr>
        <vertAlign val="superscript"/>
        <sz val="11"/>
        <color theme="1"/>
        <rFont val="Times New Roman"/>
        <family val="1"/>
      </rPr>
      <t>*</t>
    </r>
    <r>
      <rPr>
        <sz val="11"/>
        <color theme="1"/>
        <rFont val="Times New Roman"/>
        <family val="1"/>
      </rPr>
      <t xml:space="preserve"> MW and GWh values are at the generator</t>
    </r>
  </si>
  <si>
    <r>
      <rPr>
        <vertAlign val="superscript"/>
        <sz val="11"/>
        <color theme="1"/>
        <rFont val="Times New Roman"/>
        <family val="1"/>
      </rPr>
      <t>**</t>
    </r>
    <r>
      <rPr>
        <sz val="11"/>
        <color theme="1"/>
        <rFont val="Times New Roman"/>
        <family val="1"/>
      </rPr>
      <t xml:space="preserve"> No MW or GWh savings attributed to Survey programs</t>
    </r>
  </si>
  <si>
    <r>
      <rPr>
        <vertAlign val="superscript"/>
        <sz val="11"/>
        <color theme="1"/>
        <rFont val="Times New Roman"/>
        <family val="1"/>
      </rPr>
      <t>***</t>
    </r>
    <r>
      <rPr>
        <sz val="11"/>
        <color theme="1"/>
        <rFont val="Times New Roman"/>
        <family val="1"/>
      </rPr>
      <t xml:space="preserve"> On-going savings related to participation in discontinued FPL programs</t>
    </r>
  </si>
  <si>
    <t>Effective 2011 Solar is included</t>
  </si>
  <si>
    <t>RES. PROGRAMS - SUMMER kW @Generator</t>
  </si>
  <si>
    <t>1990</t>
  </si>
  <si>
    <t>1991</t>
  </si>
  <si>
    <t>2008 Summer kW @ GEN.from Ind.Repts</t>
  </si>
  <si>
    <t>2009 Summer kW @ GEN. from Ind.Repts</t>
  </si>
  <si>
    <t>2010 Summer kW @ Gen. (from 2010 detail file)</t>
  </si>
  <si>
    <t xml:space="preserve">2011 Summer kW @ Gen. </t>
  </si>
  <si>
    <t>2012 Summer kW @ Gen.  (2/22/13)</t>
  </si>
  <si>
    <t>2013 Summer kW @ Gen</t>
  </si>
  <si>
    <t>2014 (YE)Summer kW @ Gen</t>
  </si>
  <si>
    <t>2015 (YE)Summer kW @ Gen</t>
  </si>
  <si>
    <t>2016 (YE)Summer kW @ Gen</t>
  </si>
  <si>
    <t>2017 (YE)Summer kW @ Gen</t>
  </si>
  <si>
    <t>2018 (YE)Summer kW @ Gen</t>
  </si>
  <si>
    <t>2019 (YE)Summer kW @ Gen</t>
  </si>
  <si>
    <t>2020 (YE)Summer kW @ Gen</t>
  </si>
  <si>
    <t>2021 (YE)Summer kW @ Gen</t>
  </si>
  <si>
    <t>2022 (YE)Summer kW @ Gen</t>
  </si>
  <si>
    <t>2023 (YE)Summer kW @ Gen</t>
  </si>
  <si>
    <t>Summer kW @ Gen  To Date</t>
  </si>
  <si>
    <t>BuildSmart</t>
  </si>
  <si>
    <t>Res. Building Envelope</t>
  </si>
  <si>
    <t>Roof Coating</t>
  </si>
  <si>
    <t>Roof Repalcement</t>
  </si>
  <si>
    <t>Cons. Window T</t>
  </si>
  <si>
    <t>Res. A/C &amp; Heating</t>
  </si>
  <si>
    <t>HELP/DUCT</t>
  </si>
  <si>
    <t>Duct Testing and Repair</t>
  </si>
  <si>
    <t>Home Energy Loss Prevention</t>
  </si>
  <si>
    <t>Cons. Water Heating</t>
  </si>
  <si>
    <t>Res. Pool Pump</t>
  </si>
  <si>
    <t>Passive home</t>
  </si>
  <si>
    <t>WH Insulation</t>
  </si>
  <si>
    <t>Energy Store</t>
  </si>
  <si>
    <t>Watt Wise Living</t>
  </si>
  <si>
    <t>Select &amp; Save</t>
  </si>
  <si>
    <t>Res. Solar Pilot Proj.</t>
  </si>
  <si>
    <t>Total Res. Summer KW</t>
  </si>
  <si>
    <t>RES. PROGRAMS - WINTER kW @ GENERATOR</t>
  </si>
  <si>
    <t>2008-winter kW @ Gen. (Calc from  Res. Meter tab)</t>
  </si>
  <si>
    <t>2009 winter kW @ Gen. (copied from comp tab</t>
  </si>
  <si>
    <t>2010 Winter kW @ Gen. (From 2010 detail file)</t>
  </si>
  <si>
    <t>2011 Winter kW @ Gen.</t>
  </si>
  <si>
    <t>2012 Winter kW @ Gen.  (2/22/13)</t>
  </si>
  <si>
    <t>2013 Winter kW @ Gen</t>
  </si>
  <si>
    <t>2014 YE Winter kW @ Gen</t>
  </si>
  <si>
    <t>2015 YE Winter kW @ Gen</t>
  </si>
  <si>
    <t>2016 YE Winter kW @ Gen</t>
  </si>
  <si>
    <t>2017 YE Winter kW @ Gen</t>
  </si>
  <si>
    <t>2018 YE Winter kW @ Gen</t>
  </si>
  <si>
    <t>2019 YE Winter kW @ Gen</t>
  </si>
  <si>
    <t>2020 YE Winter kW @ Gen</t>
  </si>
  <si>
    <t>2021 YE Winter kW @ Gen</t>
  </si>
  <si>
    <t>2022 YE Winter kW @ Gen</t>
  </si>
  <si>
    <t>2023 YE Winter kW @ Gen</t>
  </si>
  <si>
    <t>Winter kW @ Gen   to Date</t>
  </si>
  <si>
    <t>Residential AC</t>
  </si>
  <si>
    <t>Cons. Wtr Heating</t>
  </si>
  <si>
    <t>Total Res. Winter kW</t>
  </si>
  <si>
    <t>RES. PROGRAMS - kWh @ GENERATOR</t>
  </si>
  <si>
    <t>08 - kWh @ Gen. (Calc. from Res. Meter Tab)</t>
  </si>
  <si>
    <t>2009 kWh @ Gen. (copied from comp tab</t>
  </si>
  <si>
    <t>2010 kWh @ Gen. (from 2010 detail file)</t>
  </si>
  <si>
    <t>2011 kWh @ Gen.</t>
  </si>
  <si>
    <t>2012 kWh @ Gen. (2/22/13)</t>
  </si>
  <si>
    <t xml:space="preserve">2013 kWh @Gen </t>
  </si>
  <si>
    <t xml:space="preserve">2014 YE kWh @Gen </t>
  </si>
  <si>
    <t xml:space="preserve">2015 YE kWh @Gen </t>
  </si>
  <si>
    <t xml:space="preserve">2016 YE kWh @Gen </t>
  </si>
  <si>
    <t xml:space="preserve">2017 YE kWh @Gen </t>
  </si>
  <si>
    <t xml:space="preserve">2018 YE kWh @Gen </t>
  </si>
  <si>
    <t xml:space="preserve">2019 YE kWh @Gen </t>
  </si>
  <si>
    <t xml:space="preserve">2020 YE kWh @Gen </t>
  </si>
  <si>
    <t xml:space="preserve">2021 YE kWh @Gen </t>
  </si>
  <si>
    <t xml:space="preserve">2022 YE kWh @Gen </t>
  </si>
  <si>
    <t xml:space="preserve">2023 YE kWh @Gen </t>
  </si>
  <si>
    <t>kWh @ Generator  to Date</t>
  </si>
  <si>
    <t>Cons. Window T.</t>
  </si>
  <si>
    <t>Passive Home</t>
  </si>
  <si>
    <t>Total Residential KWH</t>
  </si>
  <si>
    <t>BUSINESS PROGRAMS @ GENERATOR</t>
  </si>
  <si>
    <t>BS. PROGRAMS - SUMMER kW @ GENERATOR</t>
  </si>
  <si>
    <t>2006</t>
  </si>
  <si>
    <t>2008 Summer kW @ Gen.</t>
  </si>
  <si>
    <t>2009 summer kW @ Gen.</t>
  </si>
  <si>
    <t>2010 Summer kW @ Gen.</t>
  </si>
  <si>
    <t xml:space="preserve">2012 Summer kW @ Gen. </t>
  </si>
  <si>
    <t>2013 Summer kW @ Gen.</t>
  </si>
  <si>
    <t>2014 YE Summer kW @ Gen.</t>
  </si>
  <si>
    <t>2015 YE Summer kW @ Gen.</t>
  </si>
  <si>
    <t>2016 YE Summer kW @ Gen.</t>
  </si>
  <si>
    <t>2017 YE Summer kW @ Gen.</t>
  </si>
  <si>
    <t>2018 YE Summer kW @ Gen.</t>
  </si>
  <si>
    <t>2019 YE Summer kW @ Gen.</t>
  </si>
  <si>
    <t>2020 YE Summer kW @ Gen.</t>
  </si>
  <si>
    <t>2021 YE Summer kW @ Gen.</t>
  </si>
  <si>
    <t>2022 YE Summer kW @ Gen.</t>
  </si>
  <si>
    <t>2023 YE Summer kW @ Gen.</t>
  </si>
  <si>
    <t>Summer kW @ Gen To Date</t>
  </si>
  <si>
    <t>C/I Eng Analysis</t>
  </si>
  <si>
    <t>Bs. Eff. Lighting</t>
  </si>
  <si>
    <t>MOTORS</t>
  </si>
  <si>
    <t>OPBC</t>
  </si>
  <si>
    <t>BCI</t>
  </si>
  <si>
    <t>Bs. Bldg. Env.</t>
  </si>
  <si>
    <t>HVAC</t>
  </si>
  <si>
    <t>Bs. Water Heating</t>
  </si>
  <si>
    <t>Bs. Refrigeration</t>
  </si>
  <si>
    <t>Bs. Solar Pilot Projects</t>
  </si>
  <si>
    <t>TOTAL CONSERVATION KW</t>
  </si>
  <si>
    <t>BS. PROGRAMS - WINTER kW @ GENERATOR</t>
  </si>
  <si>
    <t xml:space="preserve">2008 Winter kW @ Gen. </t>
  </si>
  <si>
    <t xml:space="preserve">2009 winter kW @ Gen. </t>
  </si>
  <si>
    <t xml:space="preserve">2010 Winter kW @ Gen. </t>
  </si>
  <si>
    <t xml:space="preserve">2011 Winter kW @ Gen. </t>
  </si>
  <si>
    <t xml:space="preserve">2012 Winter kW @ Gen. </t>
  </si>
  <si>
    <t>2013 Winter kW @ Gen.</t>
  </si>
  <si>
    <t>2014 YE Winter kW @ Gen.</t>
  </si>
  <si>
    <t>2015 YE Winter kW @ Gen.</t>
  </si>
  <si>
    <t>2016 YE Winter kW @ Gen.</t>
  </si>
  <si>
    <t>2017 YE Winter kW @ Gen.</t>
  </si>
  <si>
    <t>2018 YE Winter kW @ Gen.</t>
  </si>
  <si>
    <t>2019 YE Winter kW @ Gen.</t>
  </si>
  <si>
    <t>2020 YE Winter kW @ Gen.</t>
  </si>
  <si>
    <t>2021 YE Winter kW @ Gen.</t>
  </si>
  <si>
    <t>2022 YE Winter kW @ Gen.</t>
  </si>
  <si>
    <t>2023 YE Winter kW @ Gen.</t>
  </si>
  <si>
    <t>Winter kW @ Gen To Date</t>
  </si>
  <si>
    <t>BS. PROGRAMS - kWh @ GENERATOR</t>
  </si>
  <si>
    <t>2008  kWh @ Gen.</t>
  </si>
  <si>
    <t>2009 kWh @ Gen.</t>
  </si>
  <si>
    <t xml:space="preserve">2010 kWh @ Gen. </t>
  </si>
  <si>
    <t xml:space="preserve">2011 kWh @ Gen. </t>
  </si>
  <si>
    <t xml:space="preserve">2012 kWh @ Gen. </t>
  </si>
  <si>
    <t>2013 kWh @ Gen.</t>
  </si>
  <si>
    <t>2014 YE kWh @ Gen.</t>
  </si>
  <si>
    <t>2015 YE kWh @ Gen.</t>
  </si>
  <si>
    <t>2016 YE kWh @ Gen.</t>
  </si>
  <si>
    <t>2017 YE kWh @ Gen.</t>
  </si>
  <si>
    <t>2018 YE kWh @ Gen.</t>
  </si>
  <si>
    <t>2019 YE kWh @ Gen.</t>
  </si>
  <si>
    <t>2020 YE kWh @ Gen.</t>
  </si>
  <si>
    <t>2021 YE kWh @ Gen.</t>
  </si>
  <si>
    <t>2022 YE kWh @ Gen.</t>
  </si>
  <si>
    <t>2023 YE kWh @ Gen.</t>
  </si>
  <si>
    <t>kWh @ Gen to Date</t>
  </si>
  <si>
    <t>Start Expire</t>
  </si>
  <si>
    <t>20 years - revised - change</t>
  </si>
  <si>
    <t>Light</t>
  </si>
  <si>
    <t>15 years - terminated</t>
  </si>
  <si>
    <t>Motors</t>
  </si>
  <si>
    <t>15 years - no change</t>
  </si>
  <si>
    <t>BE</t>
  </si>
  <si>
    <t>18 years - revised</t>
  </si>
  <si>
    <t>15 years - revised (no change)</t>
  </si>
  <si>
    <t>Bs. WH</t>
  </si>
  <si>
    <t>14 years - revised (no change)</t>
  </si>
  <si>
    <t>Bs. Ref</t>
  </si>
  <si>
    <t>TOTAL CONSERVATION KWH</t>
  </si>
  <si>
    <t xml:space="preserve">Business @ Generator - </t>
  </si>
  <si>
    <t>Business Programs @ Generator</t>
  </si>
  <si>
    <t>Total kWh</t>
  </si>
  <si>
    <t>Business Expired Measures - Through 2013 (@ Generator)</t>
  </si>
  <si>
    <t>Expired measures kwh - 2016</t>
  </si>
  <si>
    <t>2004 - 2005</t>
  </si>
  <si>
    <t>Total</t>
  </si>
  <si>
    <t>HVAC ('91-'95)</t>
  </si>
  <si>
    <t>Bs MWh</t>
  </si>
  <si>
    <t>Motors ('93-'97) Complete</t>
  </si>
  <si>
    <t>*From Historical DSM Detail File</t>
  </si>
  <si>
    <t>ROC</t>
  </si>
  <si>
    <t>PTD Participants</t>
  </si>
  <si>
    <t>Annual Installs (From Annual report)</t>
  </si>
  <si>
    <t>Half Year Installs</t>
  </si>
  <si>
    <t>Summer kW Factor @ Meter</t>
  </si>
  <si>
    <t>Summer kW @ Meter</t>
  </si>
  <si>
    <t>Winter kW Factor @ Meter</t>
  </si>
  <si>
    <t>Winter kW @ Meter</t>
  </si>
  <si>
    <t>kWh Factor @ Meter</t>
  </si>
  <si>
    <t>kWh @ Meter (Half Year Installs)</t>
  </si>
  <si>
    <t>Cum kWh @ Meter</t>
  </si>
  <si>
    <t>Summer kW Factor @ Generator</t>
  </si>
  <si>
    <t>Summer kW @ Generator</t>
  </si>
  <si>
    <t>Winter kW Factor @ Generator</t>
  </si>
  <si>
    <t>Winter kW @ Generator</t>
  </si>
  <si>
    <t>kWh Factor @ Generator</t>
  </si>
  <si>
    <t>Cum kWh @ Generator</t>
  </si>
  <si>
    <t>CDR</t>
  </si>
  <si>
    <t>PTD</t>
  </si>
  <si>
    <t>Incremental</t>
  </si>
  <si>
    <t>Half--Year</t>
  </si>
  <si>
    <t xml:space="preserve">kWh </t>
  </si>
  <si>
    <t>Cumulative</t>
  </si>
  <si>
    <t xml:space="preserve">Summer kW @ Meter  </t>
  </si>
  <si>
    <t xml:space="preserve">Summer kW @ Meter </t>
  </si>
  <si>
    <t>Winter Factor @ Meter</t>
  </si>
  <si>
    <t xml:space="preserve">Winter kW @ Meter </t>
  </si>
  <si>
    <t>kWh @ Meter</t>
  </si>
  <si>
    <t>Summer kW @ Generator (Reports)</t>
  </si>
  <si>
    <t xml:space="preserve">Winter kW @ Generator </t>
  </si>
  <si>
    <t>kWh @ Generator</t>
  </si>
  <si>
    <t>CILC</t>
  </si>
  <si>
    <t>Annual</t>
  </si>
  <si>
    <t>BOC</t>
  </si>
  <si>
    <t>kwh</t>
  </si>
  <si>
    <t>Cum</t>
  </si>
  <si>
    <t>3/2012 updated to be cosistent with DSM Annual Reports per DR.</t>
  </si>
  <si>
    <t>Revised Per 2010 DOE</t>
  </si>
  <si>
    <t>Start to Expire:</t>
  </si>
  <si>
    <t>30years- BldSMart</t>
  </si>
  <si>
    <t>20 years - Ceiling Insulation</t>
  </si>
  <si>
    <t>10 years - Roof Coating</t>
  </si>
  <si>
    <t>30 years - Roof Repl.</t>
  </si>
  <si>
    <t>10years - Window T.</t>
  </si>
  <si>
    <t>15 years- A/C</t>
  </si>
  <si>
    <t>25 years - Duct</t>
  </si>
  <si>
    <t>15 years - HELP</t>
  </si>
  <si>
    <t>7 years - LIW</t>
  </si>
  <si>
    <t>15 years - CWH</t>
  </si>
  <si>
    <t>Residential @ Generator -</t>
  </si>
  <si>
    <t>Residential Programs @ Generator</t>
  </si>
  <si>
    <t>Residential Expired Measures - Through 2016 (@ Generator)</t>
  </si>
  <si>
    <t>Expired measures kwh - 2013</t>
  </si>
  <si>
    <t>2001 - 2005</t>
  </si>
  <si>
    <t>WT Total - COMPLETE</t>
  </si>
  <si>
    <t>Res MWh</t>
  </si>
  <si>
    <t>Res. A/C ('91-'98)</t>
  </si>
  <si>
    <t>Net Cumulative kWh</t>
  </si>
  <si>
    <t>Cum/Cum</t>
  </si>
  <si>
    <t>Expired measures @ annual level only</t>
  </si>
  <si>
    <t>Help 91-96- Complete</t>
  </si>
  <si>
    <t>Cons. WH - Complete</t>
  </si>
  <si>
    <t>Res &amp; Bs kWh expired at annual level only - 1981 - 2013</t>
  </si>
  <si>
    <t>Ceiling Insul ('81-'93)</t>
  </si>
  <si>
    <t>Res. kWh</t>
  </si>
  <si>
    <t>Low Income ('05-06)</t>
  </si>
  <si>
    <t>Bs kWH</t>
  </si>
  <si>
    <t>Res + Bs kWh's  - as of 1981-2013</t>
  </si>
  <si>
    <t>Res + Bs MWH's as of 1981-2013</t>
  </si>
  <si>
    <t>Through 2012</t>
  </si>
  <si>
    <t>Res Gen kWH</t>
  </si>
  <si>
    <t>Bus Gen kWh</t>
  </si>
  <si>
    <t>Expired kWh Res through 2012</t>
  </si>
  <si>
    <t>Expired kWh Bus through 2012</t>
  </si>
  <si>
    <t>Avoided MWH's</t>
  </si>
  <si>
    <t>Expires</t>
  </si>
  <si>
    <t>Expired Measures</t>
  </si>
  <si>
    <t>Total Expired</t>
  </si>
  <si>
    <t>WT 1991</t>
  </si>
  <si>
    <t>WT 1992</t>
  </si>
  <si>
    <t>WT 1993</t>
  </si>
  <si>
    <t>WT 1994</t>
  </si>
  <si>
    <t>WT 1995-Complete</t>
  </si>
  <si>
    <t>AC 1991</t>
  </si>
  <si>
    <t>AC 1992</t>
  </si>
  <si>
    <t>AC 1993</t>
  </si>
  <si>
    <t>AC 1994</t>
  </si>
  <si>
    <t>AC 1995</t>
  </si>
  <si>
    <t>AC 1996</t>
  </si>
  <si>
    <t>AC 1997</t>
  </si>
  <si>
    <t>AC 1998</t>
  </si>
  <si>
    <t>AC 1999</t>
  </si>
  <si>
    <t>AC 2000</t>
  </si>
  <si>
    <t>AC 2001</t>
  </si>
  <si>
    <t>AC 2002</t>
  </si>
  <si>
    <t>AC 2003</t>
  </si>
  <si>
    <t>AC 2004</t>
  </si>
  <si>
    <t>AC 2005</t>
  </si>
  <si>
    <t>AC 2006</t>
  </si>
  <si>
    <t>AC 2007</t>
  </si>
  <si>
    <t>AC 2008</t>
  </si>
  <si>
    <t>WH 1991</t>
  </si>
  <si>
    <t>WH 1992</t>
  </si>
  <si>
    <t>WH 1993</t>
  </si>
  <si>
    <t>WH 1994</t>
  </si>
  <si>
    <t>WH 1995</t>
  </si>
  <si>
    <t>WH 1996</t>
  </si>
  <si>
    <t>WH 1997-Complete</t>
  </si>
  <si>
    <t>HELP 1991</t>
  </si>
  <si>
    <t>HELP 1992</t>
  </si>
  <si>
    <t>HELP 1993</t>
  </si>
  <si>
    <t>HELP 1994</t>
  </si>
  <si>
    <t>HELP 1995</t>
  </si>
  <si>
    <t>HELP 1996-Complete</t>
  </si>
  <si>
    <t>RCI 1981</t>
  </si>
  <si>
    <t>RCI 1982</t>
  </si>
  <si>
    <t>RCI 1983</t>
  </si>
  <si>
    <t>RCI 1984</t>
  </si>
  <si>
    <t>RCI 1985</t>
  </si>
  <si>
    <t>RCI 1986</t>
  </si>
  <si>
    <t>RCI 1987</t>
  </si>
  <si>
    <t>RCI 1988</t>
  </si>
  <si>
    <t>RCI 1989</t>
  </si>
  <si>
    <t>RCI 1990</t>
  </si>
  <si>
    <t>RCI 1991</t>
  </si>
  <si>
    <t>RCI 1992</t>
  </si>
  <si>
    <t>RCI 1993</t>
  </si>
  <si>
    <t>RCI 1994</t>
  </si>
  <si>
    <t>RCI 1995</t>
  </si>
  <si>
    <t>RCI 1996</t>
  </si>
  <si>
    <t>RCI 1997</t>
  </si>
  <si>
    <t>RCI 1998</t>
  </si>
  <si>
    <t>RCI 1999</t>
  </si>
  <si>
    <t>RCI 2000</t>
  </si>
  <si>
    <t>RCI 2001</t>
  </si>
  <si>
    <t>RCI 2002</t>
  </si>
  <si>
    <t>RCI 2003</t>
  </si>
  <si>
    <t>LIW 2005</t>
  </si>
  <si>
    <t>LIW 2006</t>
  </si>
  <si>
    <t>LIW 2007</t>
  </si>
  <si>
    <t>LIW 2008</t>
  </si>
  <si>
    <t>LIW 2009</t>
  </si>
  <si>
    <t>LIW 2010</t>
  </si>
  <si>
    <t>LIW 2011</t>
  </si>
  <si>
    <t>LIW 2012</t>
  </si>
  <si>
    <t>LIW 2013</t>
  </si>
  <si>
    <t>LIW 2014</t>
  </si>
  <si>
    <t>LIW 2015</t>
  </si>
  <si>
    <t>LIW 2016</t>
  </si>
  <si>
    <t>Roof Coating 2007</t>
  </si>
  <si>
    <t>Roof Coating 2008</t>
  </si>
  <si>
    <t>Roof Coating 2009</t>
  </si>
  <si>
    <t>Roof Coating 2010</t>
  </si>
  <si>
    <t>Roof Coating 2011</t>
  </si>
  <si>
    <t>Roof Coating 2012</t>
  </si>
  <si>
    <t>Roof Coating 2013</t>
  </si>
  <si>
    <t>Duct Testing 1992</t>
  </si>
  <si>
    <t>Duct Testing 1993</t>
  </si>
  <si>
    <t>Duct Testing 1994</t>
  </si>
  <si>
    <t>Duct Testing 1995</t>
  </si>
  <si>
    <t>Duct Testing 1996</t>
  </si>
  <si>
    <t>Duct Testing 1997</t>
  </si>
  <si>
    <t>Duct Testing 1998</t>
  </si>
  <si>
    <t>Total to be deducted</t>
  </si>
  <si>
    <t>Cum Cum Savings Net of Expires</t>
  </si>
  <si>
    <t>1988 - 2018 =</t>
  </si>
  <si>
    <t>Light ('84-'93)</t>
  </si>
  <si>
    <t>Net Cumulative kwh</t>
  </si>
  <si>
    <t>BCI ('95-'98)</t>
  </si>
  <si>
    <t>2007</t>
  </si>
  <si>
    <t>2008</t>
  </si>
  <si>
    <t>2009</t>
  </si>
  <si>
    <t>2010</t>
  </si>
  <si>
    <t>2011</t>
  </si>
  <si>
    <t>2012</t>
  </si>
  <si>
    <t>Res &amp; Bs kWh expired at annual level only - 1981 - 2016</t>
  </si>
  <si>
    <t>Bldg. Env. ('96-'98)</t>
  </si>
  <si>
    <t>Res + Bs kWh's  - as of 1981-2016</t>
  </si>
  <si>
    <t>Res + Bs MWH's as of 1981-2016</t>
  </si>
  <si>
    <t>HVAC 1991</t>
  </si>
  <si>
    <t>HVAC 1992</t>
  </si>
  <si>
    <t>HVAC 1993</t>
  </si>
  <si>
    <t>HVAC 1994</t>
  </si>
  <si>
    <t>HVAC 1995</t>
  </si>
  <si>
    <t>HVAC 1996</t>
  </si>
  <si>
    <t>HVAC 1997</t>
  </si>
  <si>
    <t>HVAC 1998</t>
  </si>
  <si>
    <t>HVAC 1999</t>
  </si>
  <si>
    <t>HVAC 2000</t>
  </si>
  <si>
    <t>HVAC 2001</t>
  </si>
  <si>
    <t>HVAC 2002</t>
  </si>
  <si>
    <t>HVAC 2003</t>
  </si>
  <si>
    <t>HVAC 2004</t>
  </si>
  <si>
    <t>HVAC 2005</t>
  </si>
  <si>
    <t>MOTORS 1993</t>
  </si>
  <si>
    <t>MOTORS 1994</t>
  </si>
  <si>
    <t>MOTORS 1995</t>
  </si>
  <si>
    <t>MOTORS 1996</t>
  </si>
  <si>
    <t>MOTORS 1997-Complete</t>
  </si>
  <si>
    <t>Lighting 1984</t>
  </si>
  <si>
    <t>Lighting 1985</t>
  </si>
  <si>
    <t>Lighting 1986</t>
  </si>
  <si>
    <t>Lighting 1987</t>
  </si>
  <si>
    <t>Lighting 1988</t>
  </si>
  <si>
    <t>Lighting 1989</t>
  </si>
  <si>
    <t>Lighting 1990</t>
  </si>
  <si>
    <t>Lighting 1991</t>
  </si>
  <si>
    <t>Lighting 1992</t>
  </si>
  <si>
    <t>Lighting 1993</t>
  </si>
  <si>
    <t>Lighting 1994</t>
  </si>
  <si>
    <t>Lighting 1995</t>
  </si>
  <si>
    <t>Lighting 1996</t>
  </si>
  <si>
    <t>Lighting 1997</t>
  </si>
  <si>
    <t>Lighting 1998</t>
  </si>
  <si>
    <t>Lighting 1999</t>
  </si>
  <si>
    <t>Lighting 2000</t>
  </si>
  <si>
    <t>Lighting 2001</t>
  </si>
  <si>
    <t>Lighting 2002</t>
  </si>
  <si>
    <t>Lighting 2003</t>
  </si>
  <si>
    <t>BCI 1995</t>
  </si>
  <si>
    <t>BCI 1996</t>
  </si>
  <si>
    <t>BCI 1997</t>
  </si>
  <si>
    <t>BCI 1998</t>
  </si>
  <si>
    <t>BCI 1999</t>
  </si>
  <si>
    <t>BCI 2000</t>
  </si>
  <si>
    <t>BCI 2001</t>
  </si>
  <si>
    <t>BCI 2002</t>
  </si>
  <si>
    <t>BCI 2003</t>
  </si>
  <si>
    <t>BCI 2004</t>
  </si>
  <si>
    <t>BCI 2005</t>
  </si>
  <si>
    <t>BCI 2006</t>
  </si>
  <si>
    <t>BCI 2007</t>
  </si>
  <si>
    <t>BCI 2008</t>
  </si>
  <si>
    <t>Bldg.Env. 1996</t>
  </si>
  <si>
    <t>Bldg.Env. 1997</t>
  </si>
  <si>
    <t>Bldg.Env. 1998</t>
  </si>
  <si>
    <t>Bldg.Env. 1999</t>
  </si>
  <si>
    <t>Bldg.Env. 2000</t>
  </si>
  <si>
    <t>Bldg.Env. 2001</t>
  </si>
  <si>
    <t>Bldg.Env. 2002</t>
  </si>
  <si>
    <t>Bldg.Env. 2003</t>
  </si>
  <si>
    <t>Bldg.Env. 2004</t>
  </si>
  <si>
    <t>Bldg.Env. 2005</t>
  </si>
  <si>
    <t>Bldg.Env. 2006</t>
  </si>
  <si>
    <t>Bldg.Env. 2007</t>
  </si>
  <si>
    <t>Bldg.Env. 2008</t>
  </si>
  <si>
    <t>Refrigeration 2007</t>
  </si>
  <si>
    <t>Refrigeration 2008</t>
  </si>
  <si>
    <t>Refrigeration 2009</t>
  </si>
  <si>
    <t>Water Heating 2007</t>
  </si>
  <si>
    <t>Water Heating 2008</t>
  </si>
  <si>
    <t>Cum Cum Net of Expired</t>
  </si>
  <si>
    <t xml:space="preserve">RESIDENTIAL PROGRAM PARTICIPANTS </t>
  </si>
  <si>
    <t>PROGRAM</t>
  </si>
  <si>
    <t>To Date</t>
  </si>
  <si>
    <t xml:space="preserve">Res. Home Energy Surveys </t>
  </si>
  <si>
    <t>Roof Replacement</t>
  </si>
  <si>
    <t>Cons. Window Treatment</t>
  </si>
  <si>
    <t>Residential Load Control</t>
  </si>
  <si>
    <t>Residential Pool Pump</t>
  </si>
  <si>
    <t>Conservation Water Heating</t>
  </si>
  <si>
    <t>Water Heater Insulation</t>
  </si>
  <si>
    <t>Conservation Appliances</t>
  </si>
  <si>
    <t xml:space="preserve">BUSINESS PROGRAM PARTICIPANTS </t>
  </si>
  <si>
    <t>PARTICIPANTS</t>
  </si>
  <si>
    <t>TOTAL</t>
  </si>
  <si>
    <t>Bs. Efficient Lighting</t>
  </si>
  <si>
    <t>Bs. Custom Incentive</t>
  </si>
  <si>
    <t>Bs. Building Envelope</t>
  </si>
  <si>
    <t>BS HVAC TOTAL</t>
  </si>
  <si>
    <t>TES</t>
  </si>
  <si>
    <t>ACC</t>
  </si>
  <si>
    <t>WCC</t>
  </si>
  <si>
    <t>DX</t>
  </si>
  <si>
    <t>Duct</t>
  </si>
  <si>
    <t>DCV</t>
  </si>
  <si>
    <t>ERV</t>
  </si>
  <si>
    <t>VENT</t>
  </si>
  <si>
    <t>Bs. Solar Projects</t>
  </si>
  <si>
    <t>Eff. Motors</t>
  </si>
  <si>
    <t>N/A</t>
  </si>
  <si>
    <t>Off Peak Battery Charging</t>
  </si>
  <si>
    <t>Street &amp; OL</t>
  </si>
  <si>
    <t>C/I Energy Analysis</t>
  </si>
  <si>
    <t>Bs Energy Evaluation</t>
  </si>
  <si>
    <t>CDR (incremental)</t>
  </si>
  <si>
    <t>CILC (incremental)</t>
  </si>
  <si>
    <t>BOC (incremental)</t>
  </si>
  <si>
    <t xml:space="preserve">BOC </t>
  </si>
  <si>
    <t xml:space="preserve">ANNUAL PROGRAM PARTICIPANTS </t>
  </si>
  <si>
    <t>Prior 2015</t>
  </si>
  <si>
    <t>2015-2019</t>
  </si>
  <si>
    <t>Business Energy Evaluation (BEE)</t>
  </si>
  <si>
    <t>Surveys</t>
  </si>
  <si>
    <t>Residential Field</t>
  </si>
  <si>
    <t>Residential Phone</t>
  </si>
  <si>
    <t>Residential On-Line</t>
  </si>
  <si>
    <t xml:space="preserve">Business Field </t>
  </si>
  <si>
    <t>Business On-Line</t>
  </si>
  <si>
    <t>Business Phone</t>
  </si>
  <si>
    <t>Load Management PTD Participants</t>
  </si>
  <si>
    <t>Year</t>
  </si>
  <si>
    <t>Gulf Historical Achievements</t>
  </si>
  <si>
    <t>Total  Combined</t>
  </si>
  <si>
    <t>Winter Peak Reduction (mW)</t>
  </si>
  <si>
    <t>Summer Peak Reduction (mW)</t>
  </si>
  <si>
    <t>Energy Reduction (GWh)</t>
  </si>
  <si>
    <t>1981-1985</t>
  </si>
  <si>
    <t>1986-1990</t>
  </si>
  <si>
    <t>1991-1994</t>
  </si>
  <si>
    <t>Two Plans Combined (2005 + 2010)</t>
  </si>
  <si>
    <t>Two Plans Combined (2010 + 2015)</t>
  </si>
  <si>
    <t>FPL 003264</t>
  </si>
  <si>
    <t>Docket No. 20240012-EG</t>
  </si>
  <si>
    <t>FPL 003265</t>
  </si>
  <si>
    <t>FPL 003266</t>
  </si>
  <si>
    <t>FPL 003267</t>
  </si>
  <si>
    <t>FPL 003268</t>
  </si>
  <si>
    <t>FPL 003269</t>
  </si>
  <si>
    <t>FPL 003270</t>
  </si>
  <si>
    <t>FPL 003271</t>
  </si>
  <si>
    <t>FPL 003272</t>
  </si>
  <si>
    <t>FPL 003273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</si>
</sst>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yyyy;@"/>
    <numFmt numFmtId="165" formatCode="0.0000"/>
    <numFmt numFmtId="166" formatCode="0.00000"/>
    <numFmt numFmtId="167" formatCode="_(* #,##0.0_);_(* \(#,##0.0\);_(* &quot;-&quot;??_);_(@_)"/>
    <numFmt numFmtId="168" formatCode="_(* #,##0_);_(* \(#,##0\);_(* &quot;-&quot;??_);_(@_)"/>
    <numFmt numFmtId="169" formatCode="_(* #,##0.00000_);_(* \(#,##0.00000\);_(* &quot;-&quot;??_);_(@_)"/>
    <numFmt numFmtId="170" formatCode="General_)"/>
    <numFmt numFmtId="171" formatCode="_(* #,##0.0000_);_(* \(#,##0.0000\);_(* &quot;-&quot;??_);_(@_)"/>
    <numFmt numFmtId="172" formatCode="#,##0.0"/>
    <numFmt numFmtId="173" formatCode="_(* #,##0.0_);_(* \(#,##0.0\);_(* &quot;-&quot;?_);_(@_)"/>
    <numFmt numFmtId="174" formatCode="0.00000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2"/>
      <name val="Calibri"/>
      <family val="2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b/>
      <sz val="8"/>
      <color indexed="4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57"/>
      <name val="Arial"/>
      <family val="2"/>
    </font>
    <font>
      <b/>
      <sz val="8"/>
      <color indexed="14"/>
      <name val="Arial"/>
      <family val="2"/>
    </font>
    <font>
      <b/>
      <sz val="8"/>
      <color indexed="52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sz val="9"/>
      <color indexed="12"/>
      <name val="Times New Roman"/>
      <family val="1"/>
    </font>
    <font>
      <sz val="12"/>
      <name val="Courier"/>
      <family val="3"/>
    </font>
    <font>
      <b/>
      <sz val="9"/>
      <color indexed="12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color indexed="57"/>
      <name val="Arial"/>
      <family val="2"/>
    </font>
    <font>
      <sz val="8"/>
      <color rgb="FF800000"/>
      <name val="Arial"/>
      <family val="2"/>
    </font>
    <font>
      <b/>
      <sz val="8"/>
      <color rgb="FF800000"/>
      <name val="Arial"/>
      <family val="2"/>
    </font>
    <font>
      <sz val="8"/>
      <color indexed="14"/>
      <name val="Arial"/>
      <family val="2"/>
    </font>
    <font>
      <sz val="8"/>
      <color indexed="53"/>
      <name val="Arial"/>
      <family val="2"/>
    </font>
    <font>
      <b/>
      <sz val="8"/>
      <color rgb="FF339933"/>
      <name val="Arial"/>
      <family val="2"/>
    </font>
    <font>
      <b/>
      <sz val="8"/>
      <color theme="9" tint="-0.249977111117893"/>
      <name val="Arial"/>
      <family val="2"/>
    </font>
    <font>
      <sz val="8"/>
      <name val="Courier"/>
      <family val="3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sz val="10"/>
      <color rgb="FF002060"/>
      <name val="Arial"/>
      <family val="2"/>
    </font>
    <font>
      <b/>
      <sz val="9"/>
      <color rgb="FF002060"/>
      <name val="Arial"/>
      <family val="2"/>
    </font>
    <font>
      <b/>
      <sz val="8"/>
      <color rgb="FF3333FF"/>
      <name val="Arial"/>
      <family val="2"/>
    </font>
    <font>
      <b/>
      <sz val="8"/>
      <name val="Courier"/>
      <family val="3"/>
    </font>
    <font>
      <sz val="8"/>
      <color indexed="10"/>
      <name val="Arial"/>
      <family val="2"/>
    </font>
    <font>
      <sz val="8"/>
      <color indexed="17"/>
      <name val="Arial"/>
      <family val="2"/>
    </font>
    <font>
      <b/>
      <sz val="8"/>
      <color indexed="17"/>
      <name val="Arial"/>
      <family val="2"/>
    </font>
    <font>
      <b/>
      <sz val="8"/>
      <color indexed="53"/>
      <name val="Arial"/>
      <family val="2"/>
    </font>
    <font>
      <b/>
      <sz val="8"/>
      <color rgb="FFFF6600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b/>
      <sz val="10"/>
      <color rgb="FF002060"/>
      <name val="Arial"/>
      <family val="2"/>
    </font>
    <font>
      <sz val="8"/>
      <name val="Calibri"/>
      <family val="2"/>
      <scheme val="minor"/>
    </font>
    <font>
      <sz val="10"/>
      <color indexed="48"/>
      <name val="Arial"/>
      <family val="2"/>
    </font>
    <font>
      <sz val="9"/>
      <name val="Arial"/>
      <family val="2"/>
    </font>
    <font>
      <b/>
      <sz val="8"/>
      <color rgb="FF0000CC"/>
      <name val="Arial"/>
      <family val="2"/>
    </font>
    <font>
      <b/>
      <sz val="10"/>
      <color rgb="FF0000CC"/>
      <name val="Arial"/>
      <family val="2"/>
    </font>
    <font>
      <sz val="8"/>
      <color indexed="48"/>
      <name val="Arial"/>
      <family val="2"/>
    </font>
    <font>
      <sz val="6"/>
      <name val="Arial"/>
      <family val="2"/>
    </font>
    <font>
      <b/>
      <sz val="9"/>
      <color rgb="FF0000FF"/>
      <name val="Arial"/>
      <family val="2"/>
    </font>
    <font>
      <sz val="8"/>
      <color rgb="FF0000CC"/>
      <name val="Arial"/>
      <family val="2"/>
    </font>
    <font>
      <sz val="8"/>
      <color rgb="FF0000FF"/>
      <name val="Arial"/>
      <family val="2"/>
    </font>
    <font>
      <sz val="10"/>
      <name val="Helvetica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0"/>
    <xf numFmtId="0" fontId="13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30" fillId="0" borderId="0"/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9" fillId="0" borderId="0">
      <alignment horizontal="left" wrapText="1"/>
    </xf>
    <xf numFmtId="43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1" fillId="0" borderId="0"/>
    <xf numFmtId="0" fontId="7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1">
    <xf numFmtId="0" fontId="0" fillId="0" borderId="0" xfId="0"/>
    <xf numFmtId="37" fontId="3" fillId="2" borderId="0" xfId="0" applyNumberFormat="1" applyFont="1" applyFill="1"/>
    <xf numFmtId="37" fontId="3" fillId="2" borderId="0" xfId="0" quotePrefix="1" applyNumberFormat="1" applyFont="1" applyFill="1" applyAlignment="1">
      <alignment horizontal="right"/>
    </xf>
    <xf numFmtId="37" fontId="4" fillId="2" borderId="0" xfId="0" applyNumberFormat="1" applyFont="1" applyFill="1"/>
    <xf numFmtId="37" fontId="4" fillId="2" borderId="6" xfId="0" quotePrefix="1" applyNumberFormat="1" applyFont="1" applyFill="1" applyBorder="1" applyAlignment="1">
      <alignment horizontal="center" wrapText="1"/>
    </xf>
    <xf numFmtId="37" fontId="4" fillId="2" borderId="7" xfId="0" applyNumberFormat="1" applyFont="1" applyFill="1" applyBorder="1" applyAlignment="1">
      <alignment horizontal="center"/>
    </xf>
    <xf numFmtId="37" fontId="4" fillId="2" borderId="8" xfId="0" quotePrefix="1" applyNumberFormat="1" applyFont="1" applyFill="1" applyBorder="1" applyAlignment="1">
      <alignment horizontal="center" wrapText="1"/>
    </xf>
    <xf numFmtId="37" fontId="4" fillId="2" borderId="6" xfId="0" applyNumberFormat="1" applyFont="1" applyFill="1" applyBorder="1" applyAlignment="1">
      <alignment horizontal="center" wrapText="1"/>
    </xf>
    <xf numFmtId="37" fontId="4" fillId="2" borderId="0" xfId="0" applyNumberFormat="1" applyFont="1" applyFill="1" applyAlignment="1">
      <alignment horizontal="center"/>
    </xf>
    <xf numFmtId="37" fontId="4" fillId="2" borderId="1" xfId="0" applyNumberFormat="1" applyFont="1" applyFill="1" applyBorder="1" applyAlignment="1">
      <alignment horizontal="left"/>
    </xf>
    <xf numFmtId="37" fontId="4" fillId="2" borderId="2" xfId="0" applyNumberFormat="1" applyFont="1" applyFill="1" applyBorder="1" applyAlignment="1">
      <alignment horizontal="left"/>
    </xf>
    <xf numFmtId="37" fontId="3" fillId="2" borderId="2" xfId="0" applyNumberFormat="1" applyFont="1" applyFill="1" applyBorder="1" applyAlignment="1">
      <alignment horizontal="left"/>
    </xf>
    <xf numFmtId="37" fontId="3" fillId="2" borderId="3" xfId="0" applyNumberFormat="1" applyFont="1" applyFill="1" applyBorder="1" applyAlignment="1">
      <alignment horizontal="left"/>
    </xf>
    <xf numFmtId="37" fontId="3" fillId="2" borderId="0" xfId="0" applyNumberFormat="1" applyFont="1" applyFill="1" applyAlignment="1">
      <alignment horizontal="left"/>
    </xf>
    <xf numFmtId="37" fontId="3" fillId="2" borderId="9" xfId="0" applyNumberFormat="1" applyFont="1" applyFill="1" applyBorder="1"/>
    <xf numFmtId="37" fontId="3" fillId="2" borderId="10" xfId="0" applyNumberFormat="1" applyFont="1" applyFill="1" applyBorder="1"/>
    <xf numFmtId="0" fontId="6" fillId="2" borderId="11" xfId="0" quotePrefix="1" applyFont="1" applyFill="1" applyBorder="1" applyAlignment="1">
      <alignment horizontal="left"/>
    </xf>
    <xf numFmtId="37" fontId="3" fillId="2" borderId="14" xfId="0" applyNumberFormat="1" applyFont="1" applyFill="1" applyBorder="1"/>
    <xf numFmtId="0" fontId="6" fillId="2" borderId="15" xfId="0" quotePrefix="1" applyFont="1" applyFill="1" applyBorder="1" applyAlignment="1">
      <alignment horizontal="left"/>
    </xf>
    <xf numFmtId="37" fontId="4" fillId="2" borderId="15" xfId="0" quotePrefix="1" applyNumberFormat="1" applyFont="1" applyFill="1" applyBorder="1" applyAlignment="1">
      <alignment horizontal="left"/>
    </xf>
    <xf numFmtId="37" fontId="3" fillId="2" borderId="18" xfId="0" applyNumberFormat="1" applyFont="1" applyFill="1" applyBorder="1"/>
    <xf numFmtId="37" fontId="3" fillId="2" borderId="19" xfId="0" applyNumberFormat="1" applyFont="1" applyFill="1" applyBorder="1"/>
    <xf numFmtId="37" fontId="4" fillId="2" borderId="20" xfId="0" applyNumberFormat="1" applyFont="1" applyFill="1" applyBorder="1"/>
    <xf numFmtId="37" fontId="4" fillId="2" borderId="1" xfId="0" quotePrefix="1" applyNumberFormat="1" applyFont="1" applyFill="1" applyBorder="1" applyAlignment="1">
      <alignment horizontal="left"/>
    </xf>
    <xf numFmtId="37" fontId="4" fillId="2" borderId="2" xfId="0" applyNumberFormat="1" applyFont="1" applyFill="1" applyBorder="1"/>
    <xf numFmtId="37" fontId="4" fillId="2" borderId="15" xfId="0" applyNumberFormat="1" applyFont="1" applyFill="1" applyBorder="1"/>
    <xf numFmtId="37" fontId="4" fillId="2" borderId="6" xfId="0" applyNumberFormat="1" applyFont="1" applyFill="1" applyBorder="1" applyAlignment="1">
      <alignment horizontal="center"/>
    </xf>
    <xf numFmtId="37" fontId="4" fillId="2" borderId="7" xfId="0" applyNumberFormat="1" applyFont="1" applyFill="1" applyBorder="1" applyAlignment="1">
      <alignment horizontal="right"/>
    </xf>
    <xf numFmtId="37" fontId="4" fillId="2" borderId="8" xfId="0" quotePrefix="1" applyNumberFormat="1" applyFont="1" applyFill="1" applyBorder="1" applyAlignment="1">
      <alignment horizontal="right"/>
    </xf>
    <xf numFmtId="37" fontId="4" fillId="2" borderId="6" xfId="0" applyNumberFormat="1" applyFont="1" applyFill="1" applyBorder="1" applyAlignment="1">
      <alignment horizontal="right"/>
    </xf>
    <xf numFmtId="2" fontId="9" fillId="2" borderId="0" xfId="0" quotePrefix="1" applyNumberFormat="1" applyFont="1" applyFill="1" applyAlignment="1">
      <alignment horizontal="left"/>
    </xf>
    <xf numFmtId="37" fontId="4" fillId="2" borderId="21" xfId="0" applyNumberFormat="1" applyFont="1" applyFill="1" applyBorder="1" applyAlignment="1">
      <alignment horizontal="right"/>
    </xf>
    <xf numFmtId="37" fontId="4" fillId="2" borderId="22" xfId="0" quotePrefix="1" applyNumberFormat="1" applyFont="1" applyFill="1" applyBorder="1" applyAlignment="1">
      <alignment horizontal="right"/>
    </xf>
    <xf numFmtId="37" fontId="4" fillId="2" borderId="20" xfId="0" applyNumberFormat="1" applyFont="1" applyFill="1" applyBorder="1" applyAlignment="1">
      <alignment horizontal="right"/>
    </xf>
    <xf numFmtId="37" fontId="10" fillId="2" borderId="0" xfId="0" applyNumberFormat="1" applyFont="1" applyFill="1"/>
    <xf numFmtId="37" fontId="3" fillId="2" borderId="0" xfId="0" quotePrefix="1" applyNumberFormat="1" applyFont="1" applyFill="1" applyAlignment="1">
      <alignment horizontal="left" vertical="top"/>
    </xf>
    <xf numFmtId="37" fontId="3" fillId="2" borderId="0" xfId="0" applyNumberFormat="1" applyFont="1" applyFill="1" applyAlignment="1">
      <alignment vertical="top"/>
    </xf>
    <xf numFmtId="37" fontId="12" fillId="2" borderId="0" xfId="0" quotePrefix="1" applyNumberFormat="1" applyFont="1" applyFill="1" applyAlignment="1">
      <alignment horizontal="left" vertical="top"/>
    </xf>
    <xf numFmtId="167" fontId="18" fillId="0" borderId="0" xfId="3" applyNumberFormat="1" applyFont="1" applyFill="1"/>
    <xf numFmtId="168" fontId="14" fillId="0" borderId="0" xfId="4" applyNumberFormat="1" applyFont="1" applyFill="1"/>
    <xf numFmtId="10" fontId="14" fillId="0" borderId="0" xfId="4" applyNumberFormat="1" applyFont="1" applyFill="1"/>
    <xf numFmtId="168" fontId="14" fillId="0" borderId="0" xfId="3" applyNumberFormat="1" applyFont="1" applyFill="1"/>
    <xf numFmtId="167" fontId="18" fillId="0" borderId="0" xfId="3" applyNumberFormat="1" applyFont="1" applyFill="1" applyBorder="1" applyAlignment="1">
      <alignment horizontal="center"/>
    </xf>
    <xf numFmtId="168" fontId="14" fillId="0" borderId="28" xfId="3" applyNumberFormat="1" applyFont="1" applyFill="1" applyBorder="1"/>
    <xf numFmtId="168" fontId="14" fillId="0" borderId="27" xfId="3" applyNumberFormat="1" applyFont="1" applyFill="1" applyBorder="1"/>
    <xf numFmtId="168" fontId="14" fillId="0" borderId="5" xfId="3" applyNumberFormat="1" applyFont="1" applyFill="1" applyBorder="1"/>
    <xf numFmtId="168" fontId="18" fillId="0" borderId="28" xfId="3" applyNumberFormat="1" applyFont="1" applyFill="1" applyBorder="1"/>
    <xf numFmtId="168" fontId="19" fillId="0" borderId="28" xfId="3" applyNumberFormat="1" applyFont="1" applyFill="1" applyBorder="1"/>
    <xf numFmtId="168" fontId="19" fillId="0" borderId="5" xfId="3" applyNumberFormat="1" applyFont="1" applyFill="1" applyBorder="1"/>
    <xf numFmtId="168" fontId="14" fillId="0" borderId="24" xfId="3" applyNumberFormat="1" applyFont="1" applyFill="1" applyBorder="1" applyProtection="1"/>
    <xf numFmtId="168" fontId="14" fillId="0" borderId="24" xfId="3" applyNumberFormat="1" applyFont="1" applyFill="1" applyBorder="1"/>
    <xf numFmtId="168" fontId="18" fillId="0" borderId="24" xfId="3" applyNumberFormat="1" applyFont="1" applyFill="1" applyBorder="1"/>
    <xf numFmtId="168" fontId="19" fillId="0" borderId="24" xfId="3" applyNumberFormat="1" applyFont="1" applyFill="1" applyBorder="1"/>
    <xf numFmtId="168" fontId="19" fillId="0" borderId="14" xfId="3" applyNumberFormat="1" applyFont="1" applyFill="1" applyBorder="1"/>
    <xf numFmtId="168" fontId="14" fillId="0" borderId="36" xfId="3" applyNumberFormat="1" applyFont="1" applyFill="1" applyBorder="1"/>
    <xf numFmtId="168" fontId="18" fillId="0" borderId="36" xfId="3" applyNumberFormat="1" applyFont="1" applyFill="1" applyBorder="1"/>
    <xf numFmtId="168" fontId="19" fillId="0" borderId="36" xfId="3" applyNumberFormat="1" applyFont="1" applyFill="1" applyBorder="1"/>
    <xf numFmtId="168" fontId="14" fillId="0" borderId="25" xfId="3" applyNumberFormat="1" applyFont="1" applyFill="1" applyBorder="1" applyProtection="1"/>
    <xf numFmtId="168" fontId="14" fillId="0" borderId="39" xfId="3" applyNumberFormat="1" applyFont="1" applyFill="1" applyBorder="1" applyProtection="1"/>
    <xf numFmtId="168" fontId="14" fillId="0" borderId="19" xfId="3" applyNumberFormat="1" applyFont="1" applyFill="1" applyBorder="1" applyProtection="1"/>
    <xf numFmtId="168" fontId="14" fillId="0" borderId="19" xfId="3" applyNumberFormat="1" applyFont="1" applyFill="1" applyBorder="1"/>
    <xf numFmtId="168" fontId="14" fillId="0" borderId="25" xfId="3" applyNumberFormat="1" applyFont="1" applyFill="1" applyBorder="1"/>
    <xf numFmtId="168" fontId="18" fillId="0" borderId="25" xfId="3" applyNumberFormat="1" applyFont="1" applyFill="1" applyBorder="1"/>
    <xf numFmtId="168" fontId="19" fillId="0" borderId="22" xfId="3" applyNumberFormat="1" applyFont="1" applyFill="1" applyBorder="1"/>
    <xf numFmtId="168" fontId="19" fillId="0" borderId="19" xfId="3" applyNumberFormat="1" applyFont="1" applyFill="1" applyBorder="1"/>
    <xf numFmtId="168" fontId="14" fillId="0" borderId="31" xfId="3" applyNumberFormat="1" applyFont="1" applyFill="1" applyBorder="1"/>
    <xf numFmtId="168" fontId="18" fillId="0" borderId="31" xfId="3" applyNumberFormat="1" applyFont="1" applyFill="1" applyBorder="1"/>
    <xf numFmtId="168" fontId="19" fillId="0" borderId="31" xfId="3" applyNumberFormat="1" applyFont="1" applyFill="1" applyBorder="1"/>
    <xf numFmtId="168" fontId="19" fillId="0" borderId="32" xfId="3" applyNumberFormat="1" applyFont="1" applyFill="1" applyBorder="1"/>
    <xf numFmtId="168" fontId="18" fillId="0" borderId="48" xfId="3" applyNumberFormat="1" applyFont="1" applyFill="1" applyBorder="1" applyProtection="1"/>
    <xf numFmtId="168" fontId="19" fillId="0" borderId="48" xfId="3" applyNumberFormat="1" applyFont="1" applyFill="1" applyBorder="1" applyProtection="1"/>
    <xf numFmtId="168" fontId="23" fillId="0" borderId="52" xfId="3" applyNumberFormat="1" applyFont="1" applyFill="1" applyBorder="1" applyProtection="1"/>
    <xf numFmtId="168" fontId="23" fillId="0" borderId="53" xfId="3" applyNumberFormat="1" applyFont="1" applyFill="1" applyBorder="1" applyProtection="1"/>
    <xf numFmtId="168" fontId="23" fillId="0" borderId="54" xfId="3" applyNumberFormat="1" applyFont="1" applyFill="1" applyBorder="1" applyProtection="1"/>
    <xf numFmtId="168" fontId="18" fillId="0" borderId="55" xfId="3" applyNumberFormat="1" applyFont="1" applyFill="1" applyBorder="1" applyProtection="1"/>
    <xf numFmtId="168" fontId="23" fillId="0" borderId="45" xfId="3" applyNumberFormat="1" applyFont="1" applyFill="1" applyBorder="1" applyProtection="1"/>
    <xf numFmtId="168" fontId="18" fillId="0" borderId="45" xfId="3" applyNumberFormat="1" applyFont="1" applyFill="1" applyBorder="1" applyProtection="1"/>
    <xf numFmtId="168" fontId="18" fillId="0" borderId="45" xfId="3" applyNumberFormat="1" applyFont="1" applyFill="1" applyBorder="1"/>
    <xf numFmtId="167" fontId="18" fillId="0" borderId="45" xfId="3" applyNumberFormat="1" applyFont="1" applyFill="1" applyBorder="1"/>
    <xf numFmtId="168" fontId="19" fillId="0" borderId="45" xfId="3" applyNumberFormat="1" applyFont="1" applyFill="1" applyBorder="1"/>
    <xf numFmtId="167" fontId="18" fillId="0" borderId="61" xfId="3" applyNumberFormat="1" applyFont="1" applyFill="1" applyBorder="1" applyAlignment="1">
      <alignment horizontal="center"/>
    </xf>
    <xf numFmtId="167" fontId="18" fillId="0" borderId="64" xfId="3" applyNumberFormat="1" applyFont="1" applyFill="1" applyBorder="1" applyAlignment="1">
      <alignment horizontal="center"/>
    </xf>
    <xf numFmtId="168" fontId="18" fillId="0" borderId="66" xfId="3" applyNumberFormat="1" applyFont="1" applyFill="1" applyBorder="1"/>
    <xf numFmtId="168" fontId="18" fillId="0" borderId="69" xfId="3" applyNumberFormat="1" applyFont="1" applyFill="1" applyBorder="1"/>
    <xf numFmtId="168" fontId="14" fillId="0" borderId="48" xfId="3" applyNumberFormat="1" applyFont="1" applyFill="1" applyBorder="1"/>
    <xf numFmtId="168" fontId="19" fillId="0" borderId="83" xfId="3" applyNumberFormat="1" applyFont="1" applyFill="1" applyBorder="1"/>
    <xf numFmtId="168" fontId="18" fillId="0" borderId="84" xfId="3" applyNumberFormat="1" applyFont="1" applyFill="1" applyBorder="1"/>
    <xf numFmtId="168" fontId="23" fillId="0" borderId="0" xfId="3" applyNumberFormat="1" applyFont="1" applyFill="1"/>
    <xf numFmtId="168" fontId="27" fillId="0" borderId="24" xfId="3" applyNumberFormat="1" applyFont="1" applyFill="1" applyBorder="1"/>
    <xf numFmtId="168" fontId="27" fillId="0" borderId="36" xfId="3" applyNumberFormat="1" applyFont="1" applyFill="1" applyBorder="1"/>
    <xf numFmtId="168" fontId="24" fillId="0" borderId="31" xfId="3" applyNumberFormat="1" applyFont="1" applyFill="1" applyBorder="1"/>
    <xf numFmtId="168" fontId="24" fillId="0" borderId="92" xfId="3" applyNumberFormat="1" applyFont="1" applyFill="1" applyBorder="1"/>
    <xf numFmtId="168" fontId="24" fillId="0" borderId="32" xfId="3" applyNumberFormat="1" applyFont="1" applyFill="1" applyBorder="1"/>
    <xf numFmtId="168" fontId="24" fillId="0" borderId="89" xfId="3" applyNumberFormat="1" applyFont="1" applyFill="1" applyBorder="1"/>
    <xf numFmtId="168" fontId="24" fillId="0" borderId="24" xfId="3" applyNumberFormat="1" applyFont="1" applyFill="1" applyBorder="1"/>
    <xf numFmtId="168" fontId="24" fillId="0" borderId="68" xfId="3" applyNumberFormat="1" applyFont="1" applyFill="1" applyBorder="1"/>
    <xf numFmtId="168" fontId="24" fillId="0" borderId="14" xfId="3" applyNumberFormat="1" applyFont="1" applyFill="1" applyBorder="1"/>
    <xf numFmtId="168" fontId="24" fillId="0" borderId="69" xfId="3" applyNumberFormat="1" applyFont="1" applyFill="1" applyBorder="1"/>
    <xf numFmtId="168" fontId="25" fillId="0" borderId="31" xfId="3" applyNumberFormat="1" applyFont="1" applyFill="1" applyBorder="1"/>
    <xf numFmtId="168" fontId="25" fillId="0" borderId="92" xfId="3" applyNumberFormat="1" applyFont="1" applyFill="1" applyBorder="1"/>
    <xf numFmtId="168" fontId="25" fillId="0" borderId="32" xfId="3" applyNumberFormat="1" applyFont="1" applyFill="1" applyBorder="1"/>
    <xf numFmtId="168" fontId="25" fillId="0" borderId="89" xfId="3" applyNumberFormat="1" applyFont="1" applyFill="1" applyBorder="1"/>
    <xf numFmtId="168" fontId="25" fillId="0" borderId="24" xfId="3" applyNumberFormat="1" applyFont="1" applyFill="1" applyBorder="1"/>
    <xf numFmtId="168" fontId="25" fillId="0" borderId="68" xfId="3" applyNumberFormat="1" applyFont="1" applyFill="1" applyBorder="1"/>
    <xf numFmtId="168" fontId="25" fillId="0" borderId="14" xfId="3" applyNumberFormat="1" applyFont="1" applyFill="1" applyBorder="1"/>
    <xf numFmtId="168" fontId="25" fillId="0" borderId="69" xfId="3" applyNumberFormat="1" applyFont="1" applyFill="1" applyBorder="1"/>
    <xf numFmtId="168" fontId="25" fillId="0" borderId="36" xfId="3" applyNumberFormat="1" applyFont="1" applyFill="1" applyBorder="1"/>
    <xf numFmtId="168" fontId="25" fillId="0" borderId="90" xfId="3" applyNumberFormat="1" applyFont="1" applyFill="1" applyBorder="1"/>
    <xf numFmtId="168" fontId="25" fillId="0" borderId="41" xfId="3" applyNumberFormat="1" applyFont="1" applyFill="1" applyBorder="1"/>
    <xf numFmtId="168" fontId="25" fillId="0" borderId="91" xfId="3" applyNumberFormat="1" applyFont="1" applyFill="1" applyBorder="1"/>
    <xf numFmtId="168" fontId="18" fillId="0" borderId="0" xfId="3" applyNumberFormat="1" applyFont="1" applyFill="1" applyBorder="1"/>
    <xf numFmtId="167" fontId="46" fillId="0" borderId="102" xfId="3" applyNumberFormat="1" applyFont="1" applyFill="1" applyBorder="1"/>
    <xf numFmtId="167" fontId="46" fillId="0" borderId="104" xfId="3" applyNumberFormat="1" applyFont="1" applyFill="1" applyBorder="1" applyAlignment="1">
      <alignment horizontal="center"/>
    </xf>
    <xf numFmtId="167" fontId="46" fillId="0" borderId="106" xfId="3" applyNumberFormat="1" applyFont="1" applyFill="1" applyBorder="1"/>
    <xf numFmtId="167" fontId="46" fillId="0" borderId="109" xfId="3" applyNumberFormat="1" applyFont="1" applyFill="1" applyBorder="1"/>
    <xf numFmtId="167" fontId="18" fillId="0" borderId="45" xfId="3" applyNumberFormat="1" applyFont="1" applyFill="1" applyBorder="1" applyAlignment="1" applyProtection="1">
      <alignment horizontal="center"/>
    </xf>
    <xf numFmtId="167" fontId="14" fillId="0" borderId="0" xfId="3" applyNumberFormat="1" applyFont="1" applyFill="1" applyBorder="1"/>
    <xf numFmtId="167" fontId="18" fillId="0" borderId="19" xfId="3" applyNumberFormat="1" applyFont="1" applyFill="1" applyBorder="1" applyAlignment="1">
      <alignment horizontal="center"/>
    </xf>
    <xf numFmtId="167" fontId="14" fillId="0" borderId="0" xfId="3" applyNumberFormat="1" applyFont="1" applyFill="1" applyBorder="1" applyAlignment="1">
      <alignment horizontal="right"/>
    </xf>
    <xf numFmtId="168" fontId="14" fillId="0" borderId="0" xfId="3" applyNumberFormat="1" applyFont="1" applyFill="1" applyBorder="1"/>
    <xf numFmtId="168" fontId="49" fillId="0" borderId="117" xfId="3" applyNumberFormat="1" applyFont="1" applyFill="1" applyBorder="1" applyAlignment="1">
      <alignment horizontal="center"/>
    </xf>
    <xf numFmtId="168" fontId="14" fillId="0" borderId="65" xfId="3" applyNumberFormat="1" applyFont="1" applyFill="1" applyBorder="1"/>
    <xf numFmtId="168" fontId="14" fillId="0" borderId="23" xfId="3" applyNumberFormat="1" applyFont="1" applyFill="1" applyBorder="1"/>
    <xf numFmtId="168" fontId="14" fillId="0" borderId="10" xfId="3" applyNumberFormat="1" applyFont="1" applyFill="1" applyBorder="1"/>
    <xf numFmtId="1" fontId="23" fillId="0" borderId="9" xfId="3" applyNumberFormat="1" applyFont="1" applyFill="1" applyBorder="1"/>
    <xf numFmtId="168" fontId="23" fillId="0" borderId="0" xfId="3" applyNumberFormat="1" applyFont="1" applyFill="1" applyBorder="1"/>
    <xf numFmtId="1" fontId="49" fillId="0" borderId="9" xfId="3" applyNumberFormat="1" applyFont="1" applyFill="1" applyBorder="1"/>
    <xf numFmtId="168" fontId="49" fillId="0" borderId="0" xfId="3" applyNumberFormat="1" applyFont="1" applyFill="1" applyBorder="1"/>
    <xf numFmtId="168" fontId="18" fillId="0" borderId="9" xfId="3" applyNumberFormat="1" applyFont="1" applyFill="1" applyBorder="1"/>
    <xf numFmtId="1" fontId="23" fillId="0" borderId="123" xfId="3" applyNumberFormat="1" applyFont="1" applyFill="1" applyBorder="1"/>
    <xf numFmtId="168" fontId="23" fillId="0" borderId="75" xfId="3" applyNumberFormat="1" applyFont="1" applyFill="1" applyBorder="1"/>
    <xf numFmtId="168" fontId="23" fillId="0" borderId="52" xfId="3" applyNumberFormat="1" applyFont="1" applyFill="1" applyBorder="1"/>
    <xf numFmtId="168" fontId="23" fillId="0" borderId="42" xfId="3" applyNumberFormat="1" applyFont="1" applyFill="1" applyBorder="1"/>
    <xf numFmtId="168" fontId="23" fillId="0" borderId="54" xfId="3" applyNumberFormat="1" applyFont="1" applyFill="1" applyBorder="1"/>
    <xf numFmtId="167" fontId="18" fillId="0" borderId="0" xfId="3" applyNumberFormat="1" applyFont="1" applyFill="1" applyBorder="1"/>
    <xf numFmtId="168" fontId="51" fillId="0" borderId="0" xfId="3" applyNumberFormat="1" applyFont="1" applyFill="1" applyBorder="1"/>
    <xf numFmtId="1" fontId="18" fillId="0" borderId="0" xfId="3" applyNumberFormat="1" applyFont="1" applyFill="1" applyBorder="1" applyAlignment="1">
      <alignment horizontal="center"/>
    </xf>
    <xf numFmtId="168" fontId="51" fillId="0" borderId="126" xfId="3" applyNumberFormat="1" applyFont="1" applyFill="1" applyBorder="1"/>
    <xf numFmtId="168" fontId="14" fillId="0" borderId="126" xfId="3" applyNumberFormat="1" applyFont="1" applyFill="1" applyBorder="1"/>
    <xf numFmtId="168" fontId="14" fillId="0" borderId="127" xfId="3" applyNumberFormat="1" applyFont="1" applyFill="1" applyBorder="1"/>
    <xf numFmtId="168" fontId="23" fillId="0" borderId="60" xfId="3" applyNumberFormat="1" applyFont="1" applyFill="1" applyBorder="1"/>
    <xf numFmtId="168" fontId="18" fillId="0" borderId="0" xfId="3" applyNumberFormat="1" applyFont="1" applyFill="1"/>
    <xf numFmtId="168" fontId="23" fillId="0" borderId="83" xfId="3" applyNumberFormat="1" applyFont="1" applyFill="1" applyBorder="1"/>
    <xf numFmtId="168" fontId="14" fillId="0" borderId="83" xfId="3" applyNumberFormat="1" applyFont="1" applyFill="1" applyBorder="1"/>
    <xf numFmtId="1" fontId="18" fillId="0" borderId="87" xfId="3" applyNumberFormat="1" applyFont="1" applyFill="1" applyBorder="1" applyAlignment="1">
      <alignment horizontal="center"/>
    </xf>
    <xf numFmtId="168" fontId="56" fillId="0" borderId="30" xfId="3" applyNumberFormat="1" applyFont="1" applyFill="1" applyBorder="1" applyAlignment="1">
      <alignment horizontal="right"/>
    </xf>
    <xf numFmtId="168" fontId="56" fillId="0" borderId="31" xfId="3" applyNumberFormat="1" applyFont="1" applyFill="1" applyBorder="1"/>
    <xf numFmtId="168" fontId="56" fillId="0" borderId="92" xfId="3" applyNumberFormat="1" applyFont="1" applyFill="1" applyBorder="1"/>
    <xf numFmtId="168" fontId="56" fillId="0" borderId="32" xfId="3" applyNumberFormat="1" applyFont="1" applyFill="1" applyBorder="1"/>
    <xf numFmtId="168" fontId="56" fillId="0" borderId="89" xfId="3" applyNumberFormat="1" applyFont="1" applyFill="1" applyBorder="1"/>
    <xf numFmtId="168" fontId="56" fillId="0" borderId="16" xfId="3" applyNumberFormat="1" applyFont="1" applyFill="1" applyBorder="1" applyAlignment="1">
      <alignment horizontal="right"/>
    </xf>
    <xf numFmtId="168" fontId="57" fillId="0" borderId="24" xfId="3" applyNumberFormat="1" applyFont="1" applyFill="1" applyBorder="1" applyAlignment="1">
      <alignment horizontal="right"/>
    </xf>
    <xf numFmtId="168" fontId="56" fillId="0" borderId="24" xfId="3" applyNumberFormat="1" applyFont="1" applyFill="1" applyBorder="1"/>
    <xf numFmtId="168" fontId="56" fillId="0" borderId="68" xfId="3" applyNumberFormat="1" applyFont="1" applyFill="1" applyBorder="1"/>
    <xf numFmtId="168" fontId="56" fillId="0" borderId="14" xfId="3" applyNumberFormat="1" applyFont="1" applyFill="1" applyBorder="1"/>
    <xf numFmtId="168" fontId="56" fillId="0" borderId="69" xfId="3" applyNumberFormat="1" applyFont="1" applyFill="1" applyBorder="1"/>
    <xf numFmtId="168" fontId="57" fillId="0" borderId="108" xfId="3" applyNumberFormat="1" applyFont="1" applyFill="1" applyBorder="1" applyAlignment="1">
      <alignment horizontal="right"/>
    </xf>
    <xf numFmtId="168" fontId="56" fillId="0" borderId="0" xfId="3" applyNumberFormat="1" applyFont="1" applyFill="1" applyBorder="1"/>
    <xf numFmtId="168" fontId="56" fillId="0" borderId="84" xfId="3" applyNumberFormat="1" applyFont="1" applyFill="1" applyBorder="1"/>
    <xf numFmtId="168" fontId="57" fillId="0" borderId="31" xfId="3" applyNumberFormat="1" applyFont="1" applyFill="1" applyBorder="1" applyAlignment="1">
      <alignment horizontal="right"/>
    </xf>
    <xf numFmtId="168" fontId="57" fillId="0" borderId="96" xfId="3" applyNumberFormat="1" applyFont="1" applyFill="1" applyBorder="1" applyAlignment="1">
      <alignment horizontal="right"/>
    </xf>
    <xf numFmtId="168" fontId="57" fillId="0" borderId="13" xfId="3" applyNumberFormat="1" applyFont="1" applyFill="1" applyBorder="1" applyAlignment="1">
      <alignment horizontal="right"/>
    </xf>
    <xf numFmtId="167" fontId="46" fillId="0" borderId="106" xfId="3" applyNumberFormat="1" applyFont="1" applyFill="1" applyBorder="1" applyAlignment="1">
      <alignment horizontal="center"/>
    </xf>
    <xf numFmtId="168" fontId="24" fillId="0" borderId="23" xfId="3" applyNumberFormat="1" applyFont="1" applyFill="1" applyBorder="1"/>
    <xf numFmtId="168" fontId="24" fillId="0" borderId="65" xfId="3" applyNumberFormat="1" applyFont="1" applyFill="1" applyBorder="1"/>
    <xf numFmtId="168" fontId="24" fillId="0" borderId="10" xfId="3" applyNumberFormat="1" applyFont="1" applyFill="1" applyBorder="1"/>
    <xf numFmtId="168" fontId="24" fillId="0" borderId="66" xfId="3" applyNumberFormat="1" applyFont="1" applyFill="1" applyBorder="1"/>
    <xf numFmtId="168" fontId="14" fillId="0" borderId="14" xfId="3" applyNumberFormat="1" applyFont="1" applyFill="1" applyBorder="1"/>
    <xf numFmtId="168" fontId="56" fillId="0" borderId="10" xfId="3" applyNumberFormat="1" applyFont="1" applyFill="1" applyBorder="1"/>
    <xf numFmtId="168" fontId="57" fillId="0" borderId="22" xfId="3" applyNumberFormat="1" applyFont="1" applyFill="1" applyBorder="1" applyAlignment="1">
      <alignment horizontal="right"/>
    </xf>
    <xf numFmtId="168" fontId="14" fillId="0" borderId="131" xfId="3" applyNumberFormat="1" applyFont="1" applyFill="1" applyBorder="1"/>
    <xf numFmtId="168" fontId="14" fillId="0" borderId="135" xfId="3" applyNumberFormat="1" applyFont="1" applyFill="1" applyBorder="1"/>
    <xf numFmtId="168" fontId="14" fillId="0" borderId="101" xfId="3" applyNumberFormat="1" applyFont="1" applyFill="1" applyBorder="1"/>
    <xf numFmtId="168" fontId="18" fillId="0" borderId="143" xfId="3" applyNumberFormat="1" applyFont="1" applyFill="1" applyBorder="1"/>
    <xf numFmtId="168" fontId="14" fillId="0" borderId="120" xfId="3" applyNumberFormat="1" applyFont="1" applyFill="1" applyBorder="1"/>
    <xf numFmtId="168" fontId="14" fillId="0" borderId="132" xfId="3" applyNumberFormat="1" applyFont="1" applyFill="1" applyBorder="1"/>
    <xf numFmtId="168" fontId="14" fillId="0" borderId="63" xfId="3" applyNumberFormat="1" applyFont="1" applyFill="1" applyBorder="1"/>
    <xf numFmtId="168" fontId="14" fillId="0" borderId="111" xfId="3" applyNumberFormat="1" applyFont="1" applyFill="1" applyBorder="1"/>
    <xf numFmtId="168" fontId="18" fillId="0" borderId="140" xfId="3" applyNumberFormat="1" applyFont="1" applyFill="1" applyBorder="1"/>
    <xf numFmtId="168" fontId="14" fillId="0" borderId="68" xfId="3" applyNumberFormat="1" applyFont="1" applyFill="1" applyBorder="1" applyProtection="1"/>
    <xf numFmtId="168" fontId="14" fillId="0" borderId="65" xfId="3" applyNumberFormat="1" applyFont="1" applyFill="1" applyBorder="1" applyProtection="1"/>
    <xf numFmtId="168" fontId="14" fillId="0" borderId="23" xfId="3" applyNumberFormat="1" applyFont="1" applyFill="1" applyBorder="1" applyProtection="1"/>
    <xf numFmtId="168" fontId="14" fillId="0" borderId="10" xfId="3" applyNumberFormat="1" applyFont="1" applyFill="1" applyBorder="1" applyProtection="1"/>
    <xf numFmtId="168" fontId="18" fillId="0" borderId="133" xfId="3" applyNumberFormat="1" applyFont="1" applyFill="1" applyBorder="1"/>
    <xf numFmtId="168" fontId="62" fillId="0" borderId="0" xfId="3" applyNumberFormat="1" applyFont="1" applyFill="1" applyBorder="1" applyProtection="1"/>
    <xf numFmtId="168" fontId="14" fillId="0" borderId="0" xfId="3" applyNumberFormat="1" applyFont="1" applyFill="1" applyBorder="1" applyProtection="1"/>
    <xf numFmtId="168" fontId="18" fillId="0" borderId="0" xfId="3" applyNumberFormat="1" applyFont="1" applyFill="1" applyBorder="1" applyProtection="1"/>
    <xf numFmtId="168" fontId="64" fillId="0" borderId="0" xfId="3" applyNumberFormat="1" applyFont="1" applyFill="1" applyBorder="1" applyProtection="1"/>
    <xf numFmtId="168" fontId="19" fillId="0" borderId="0" xfId="3" applyNumberFormat="1" applyFont="1" applyFill="1" applyBorder="1" applyProtection="1"/>
    <xf numFmtId="168" fontId="64" fillId="0" borderId="0" xfId="3" applyNumberFormat="1" applyFont="1" applyFill="1"/>
    <xf numFmtId="168" fontId="19" fillId="0" borderId="0" xfId="3" applyNumberFormat="1" applyFont="1" applyFill="1"/>
    <xf numFmtId="168" fontId="18" fillId="0" borderId="126" xfId="3" applyNumberFormat="1" applyFont="1" applyFill="1" applyBorder="1"/>
    <xf numFmtId="168" fontId="23" fillId="0" borderId="126" xfId="3" applyNumberFormat="1" applyFont="1" applyFill="1" applyBorder="1"/>
    <xf numFmtId="168" fontId="14" fillId="0" borderId="149" xfId="3" applyNumberFormat="1" applyFont="1" applyFill="1" applyBorder="1"/>
    <xf numFmtId="168" fontId="23" fillId="0" borderId="131" xfId="3" applyNumberFormat="1" applyFont="1" applyFill="1" applyBorder="1"/>
    <xf numFmtId="168" fontId="23" fillId="0" borderId="135" xfId="3" applyNumberFormat="1" applyFont="1" applyFill="1" applyBorder="1"/>
    <xf numFmtId="168" fontId="18" fillId="0" borderId="136" xfId="3" applyNumberFormat="1" applyFont="1" applyFill="1" applyBorder="1"/>
    <xf numFmtId="168" fontId="23" fillId="0" borderId="23" xfId="3" applyNumberFormat="1" applyFont="1" applyFill="1" applyBorder="1"/>
    <xf numFmtId="168" fontId="23" fillId="0" borderId="65" xfId="3" applyNumberFormat="1" applyFont="1" applyFill="1" applyBorder="1"/>
    <xf numFmtId="168" fontId="18" fillId="0" borderId="104" xfId="3" applyNumberFormat="1" applyFont="1" applyFill="1" applyBorder="1"/>
    <xf numFmtId="168" fontId="23" fillId="0" borderId="36" xfId="3" applyNumberFormat="1" applyFont="1" applyFill="1" applyBorder="1"/>
    <xf numFmtId="168" fontId="18" fillId="0" borderId="150" xfId="3" applyNumberFormat="1" applyFont="1" applyFill="1" applyBorder="1"/>
    <xf numFmtId="168" fontId="14" fillId="0" borderId="68" xfId="3" applyNumberFormat="1" applyFont="1" applyFill="1" applyBorder="1"/>
    <xf numFmtId="168" fontId="23" fillId="0" borderId="24" xfId="3" applyNumberFormat="1" applyFont="1" applyFill="1" applyBorder="1"/>
    <xf numFmtId="168" fontId="23" fillId="0" borderId="68" xfId="3" applyNumberFormat="1" applyFont="1" applyFill="1" applyBorder="1"/>
    <xf numFmtId="168" fontId="14" fillId="0" borderId="23" xfId="3" applyNumberFormat="1" applyFont="1" applyFill="1" applyBorder="1" applyAlignment="1">
      <alignment horizontal="center"/>
    </xf>
    <xf numFmtId="168" fontId="14" fillId="0" borderId="13" xfId="3" applyNumberFormat="1" applyFont="1" applyFill="1" applyBorder="1"/>
    <xf numFmtId="168" fontId="18" fillId="0" borderId="106" xfId="3" applyNumberFormat="1" applyFont="1" applyFill="1" applyBorder="1"/>
    <xf numFmtId="168" fontId="18" fillId="0" borderId="68" xfId="3" applyNumberFormat="1" applyFont="1" applyFill="1" applyBorder="1"/>
    <xf numFmtId="168" fontId="18" fillId="0" borderId="14" xfId="3" applyNumberFormat="1" applyFont="1" applyFill="1" applyBorder="1"/>
    <xf numFmtId="168" fontId="18" fillId="0" borderId="111" xfId="3" applyNumberFormat="1" applyFont="1" applyFill="1" applyBorder="1"/>
    <xf numFmtId="168" fontId="18" fillId="0" borderId="138" xfId="3" applyNumberFormat="1" applyFont="1" applyFill="1" applyBorder="1"/>
    <xf numFmtId="168" fontId="18" fillId="0" borderId="147" xfId="3" applyNumberFormat="1" applyFont="1" applyFill="1" applyBorder="1"/>
    <xf numFmtId="168" fontId="18" fillId="0" borderId="153" xfId="3" applyNumberFormat="1" applyFont="1" applyFill="1" applyBorder="1"/>
    <xf numFmtId="168" fontId="14" fillId="0" borderId="22" xfId="3" applyNumberFormat="1" applyFont="1" applyFill="1" applyBorder="1"/>
    <xf numFmtId="168" fontId="14" fillId="0" borderId="39" xfId="3" applyNumberFormat="1" applyFont="1" applyFill="1" applyBorder="1"/>
    <xf numFmtId="168" fontId="18" fillId="0" borderId="154" xfId="3" applyNumberFormat="1" applyFont="1" applyFill="1" applyBorder="1" applyAlignment="1">
      <alignment horizontal="center"/>
    </xf>
    <xf numFmtId="168" fontId="18" fillId="0" borderId="0" xfId="3" applyNumberFormat="1" applyFont="1" applyFill="1" applyBorder="1" applyAlignment="1">
      <alignment horizontal="center"/>
    </xf>
    <xf numFmtId="168" fontId="19" fillId="0" borderId="115" xfId="3" applyNumberFormat="1" applyFont="1" applyFill="1" applyBorder="1" applyAlignment="1">
      <alignment horizontal="center"/>
    </xf>
    <xf numFmtId="168" fontId="19" fillId="0" borderId="6" xfId="3" applyNumberFormat="1" applyFont="1" applyFill="1" applyBorder="1" applyAlignment="1">
      <alignment horizontal="center"/>
    </xf>
    <xf numFmtId="168" fontId="41" fillId="0" borderId="24" xfId="3" applyNumberFormat="1" applyFont="1" applyFill="1" applyBorder="1" applyProtection="1"/>
    <xf numFmtId="168" fontId="14" fillId="0" borderId="24" xfId="3" applyNumberFormat="1" applyFont="1" applyFill="1" applyBorder="1" applyAlignment="1">
      <alignment horizontal="center"/>
    </xf>
    <xf numFmtId="168" fontId="18" fillId="0" borderId="24" xfId="3" applyNumberFormat="1" applyFont="1" applyFill="1" applyBorder="1" applyAlignment="1">
      <alignment horizontal="center"/>
    </xf>
    <xf numFmtId="168" fontId="19" fillId="0" borderId="157" xfId="3" applyNumberFormat="1" applyFont="1" applyFill="1" applyBorder="1" applyAlignment="1">
      <alignment horizontal="center"/>
    </xf>
    <xf numFmtId="168" fontId="19" fillId="0" borderId="15" xfId="3" applyNumberFormat="1" applyFont="1" applyFill="1" applyBorder="1" applyAlignment="1">
      <alignment horizontal="center"/>
    </xf>
    <xf numFmtId="168" fontId="14" fillId="0" borderId="36" xfId="3" applyNumberFormat="1" applyFont="1" applyFill="1" applyBorder="1" applyAlignment="1">
      <alignment horizontal="center"/>
    </xf>
    <xf numFmtId="168" fontId="18" fillId="0" borderId="36" xfId="3" applyNumberFormat="1" applyFont="1" applyFill="1" applyBorder="1" applyAlignment="1">
      <alignment horizontal="center"/>
    </xf>
    <xf numFmtId="168" fontId="19" fillId="0" borderId="158" xfId="3" applyNumberFormat="1" applyFont="1" applyFill="1" applyBorder="1" applyAlignment="1">
      <alignment horizontal="center"/>
    </xf>
    <xf numFmtId="168" fontId="19" fillId="0" borderId="159" xfId="3" applyNumberFormat="1" applyFont="1" applyFill="1" applyBorder="1" applyAlignment="1">
      <alignment horizontal="center"/>
    </xf>
    <xf numFmtId="168" fontId="14" fillId="0" borderId="28" xfId="3" applyNumberFormat="1" applyFont="1" applyFill="1" applyBorder="1" applyProtection="1"/>
    <xf numFmtId="168" fontId="18" fillId="0" borderId="28" xfId="3" applyNumberFormat="1" applyFont="1" applyFill="1" applyBorder="1" applyAlignment="1" applyProtection="1">
      <alignment horizontal="center"/>
    </xf>
    <xf numFmtId="168" fontId="19" fillId="0" borderId="20" xfId="3" applyNumberFormat="1" applyFont="1" applyFill="1" applyBorder="1" applyAlignment="1">
      <alignment horizontal="center"/>
    </xf>
    <xf numFmtId="168" fontId="14" fillId="0" borderId="24" xfId="3" applyNumberFormat="1" applyFont="1" applyFill="1" applyBorder="1" applyAlignment="1" applyProtection="1">
      <alignment horizontal="center"/>
    </xf>
    <xf numFmtId="168" fontId="18" fillId="0" borderId="24" xfId="3" applyNumberFormat="1" applyFont="1" applyFill="1" applyBorder="1" applyAlignment="1" applyProtection="1">
      <alignment horizontal="center"/>
    </xf>
    <xf numFmtId="168" fontId="14" fillId="0" borderId="36" xfId="3" applyNumberFormat="1" applyFont="1" applyFill="1" applyBorder="1" applyProtection="1"/>
    <xf numFmtId="168" fontId="18" fillId="0" borderId="28" xfId="3" applyNumberFormat="1" applyFont="1" applyFill="1" applyBorder="1" applyAlignment="1">
      <alignment horizontal="center"/>
    </xf>
    <xf numFmtId="168" fontId="18" fillId="0" borderId="162" xfId="3" applyNumberFormat="1" applyFont="1" applyFill="1" applyBorder="1" applyAlignment="1">
      <alignment horizontal="center"/>
    </xf>
    <xf numFmtId="168" fontId="19" fillId="0" borderId="154" xfId="3" applyNumberFormat="1" applyFont="1" applyFill="1" applyBorder="1" applyAlignment="1">
      <alignment horizontal="center"/>
    </xf>
    <xf numFmtId="167" fontId="23" fillId="0" borderId="53" xfId="3" applyNumberFormat="1" applyFont="1" applyFill="1" applyBorder="1" applyAlignment="1">
      <alignment horizontal="right" wrapText="1"/>
    </xf>
    <xf numFmtId="167" fontId="23" fillId="0" borderId="163" xfId="3" applyNumberFormat="1" applyFont="1" applyFill="1" applyBorder="1" applyProtection="1"/>
    <xf numFmtId="168" fontId="23" fillId="0" borderId="163" xfId="3" applyNumberFormat="1" applyFont="1" applyFill="1" applyBorder="1" applyProtection="1"/>
    <xf numFmtId="167" fontId="18" fillId="0" borderId="55" xfId="3" applyNumberFormat="1" applyFont="1" applyFill="1" applyBorder="1" applyProtection="1"/>
    <xf numFmtId="167" fontId="18" fillId="0" borderId="45" xfId="3" applyNumberFormat="1" applyFont="1" applyFill="1" applyBorder="1" applyProtection="1"/>
    <xf numFmtId="167" fontId="19" fillId="0" borderId="45" xfId="3" applyNumberFormat="1" applyFont="1" applyFill="1" applyBorder="1" applyProtection="1"/>
    <xf numFmtId="167" fontId="18" fillId="0" borderId="0" xfId="3" applyNumberFormat="1" applyFont="1" applyFill="1" applyBorder="1" applyAlignment="1">
      <alignment horizontal="center" wrapText="1"/>
    </xf>
    <xf numFmtId="167" fontId="18" fillId="0" borderId="28" xfId="3" applyNumberFormat="1" applyFont="1" applyFill="1" applyBorder="1" applyAlignment="1">
      <alignment horizontal="center"/>
    </xf>
    <xf numFmtId="167" fontId="19" fillId="0" borderId="27" xfId="3" applyNumberFormat="1" applyFont="1" applyFill="1" applyBorder="1" applyAlignment="1">
      <alignment horizontal="center"/>
    </xf>
    <xf numFmtId="167" fontId="19" fillId="0" borderId="28" xfId="3" applyNumberFormat="1" applyFont="1" applyFill="1" applyBorder="1" applyAlignment="1">
      <alignment horizontal="center"/>
    </xf>
    <xf numFmtId="167" fontId="19" fillId="0" borderId="5" xfId="3" applyNumberFormat="1" applyFont="1" applyFill="1" applyBorder="1" applyAlignment="1">
      <alignment horizontal="center"/>
    </xf>
    <xf numFmtId="168" fontId="19" fillId="0" borderId="68" xfId="3" applyNumberFormat="1" applyFont="1" applyFill="1" applyBorder="1"/>
    <xf numFmtId="168" fontId="19" fillId="0" borderId="27" xfId="3" applyNumberFormat="1" applyFont="1" applyFill="1" applyBorder="1"/>
    <xf numFmtId="168" fontId="19" fillId="0" borderId="92" xfId="3" applyNumberFormat="1" applyFont="1" applyFill="1" applyBorder="1"/>
    <xf numFmtId="168" fontId="18" fillId="0" borderId="48" xfId="3" applyNumberFormat="1" applyFont="1" applyFill="1" applyBorder="1"/>
    <xf numFmtId="168" fontId="19" fillId="0" borderId="48" xfId="3" applyNumberFormat="1" applyFont="1" applyFill="1" applyBorder="1"/>
    <xf numFmtId="168" fontId="19" fillId="0" borderId="37" xfId="3" applyNumberFormat="1" applyFont="1" applyFill="1" applyBorder="1"/>
    <xf numFmtId="167" fontId="23" fillId="0" borderId="42" xfId="3" applyNumberFormat="1" applyFont="1" applyFill="1" applyBorder="1" applyAlignment="1">
      <alignment horizontal="right" wrapText="1"/>
    </xf>
    <xf numFmtId="167" fontId="23" fillId="0" borderId="53" xfId="3" applyNumberFormat="1" applyFont="1" applyFill="1" applyBorder="1" applyProtection="1"/>
    <xf numFmtId="167" fontId="18" fillId="0" borderId="0" xfId="3" applyNumberFormat="1" applyFont="1" applyFill="1" applyBorder="1" applyProtection="1"/>
    <xf numFmtId="168" fontId="14" fillId="0" borderId="121" xfId="3" applyNumberFormat="1" applyFont="1" applyFill="1" applyBorder="1"/>
    <xf numFmtId="168" fontId="14" fillId="0" borderId="119" xfId="3" applyNumberFormat="1" applyFont="1" applyFill="1" applyBorder="1"/>
    <xf numFmtId="167" fontId="14" fillId="0" borderId="45" xfId="3" applyNumberFormat="1" applyFont="1" applyFill="1" applyBorder="1" applyAlignment="1">
      <alignment horizontal="center"/>
    </xf>
    <xf numFmtId="167" fontId="23" fillId="0" borderId="19" xfId="3" applyNumberFormat="1" applyFont="1" applyFill="1" applyBorder="1" applyAlignment="1">
      <alignment horizontal="center"/>
    </xf>
    <xf numFmtId="167" fontId="23" fillId="0" borderId="0" xfId="3" applyNumberFormat="1" applyFont="1" applyFill="1" applyBorder="1" applyAlignment="1">
      <alignment horizontal="center"/>
    </xf>
    <xf numFmtId="167" fontId="18" fillId="0" borderId="0" xfId="3" applyNumberFormat="1" applyFont="1" applyFill="1" applyBorder="1" applyAlignment="1" applyProtection="1">
      <alignment horizontal="center"/>
    </xf>
    <xf numFmtId="167" fontId="14" fillId="0" borderId="19" xfId="3" applyNumberFormat="1" applyFont="1" applyFill="1" applyBorder="1" applyAlignment="1">
      <alignment horizontal="center"/>
    </xf>
    <xf numFmtId="167" fontId="18" fillId="0" borderId="9" xfId="3" applyNumberFormat="1" applyFont="1" applyFill="1" applyBorder="1" applyAlignment="1" applyProtection="1">
      <alignment horizontal="center"/>
    </xf>
    <xf numFmtId="37" fontId="18" fillId="0" borderId="34" xfId="3" applyNumberFormat="1" applyFont="1" applyFill="1" applyBorder="1"/>
    <xf numFmtId="168" fontId="18" fillId="0" borderId="24" xfId="3" applyNumberFormat="1" applyFont="1" applyFill="1" applyBorder="1" applyProtection="1"/>
    <xf numFmtId="168" fontId="14" fillId="0" borderId="14" xfId="3" applyNumberFormat="1" applyFont="1" applyFill="1" applyBorder="1" applyProtection="1"/>
    <xf numFmtId="168" fontId="44" fillId="0" borderId="65" xfId="3" applyNumberFormat="1" applyFont="1" applyFill="1" applyBorder="1"/>
    <xf numFmtId="168" fontId="44" fillId="0" borderId="68" xfId="3" applyNumberFormat="1" applyFont="1" applyFill="1" applyBorder="1"/>
    <xf numFmtId="168" fontId="44" fillId="0" borderId="24" xfId="3" applyNumberFormat="1" applyFont="1" applyFill="1" applyBorder="1"/>
    <xf numFmtId="168" fontId="18" fillId="0" borderId="10" xfId="3" applyNumberFormat="1" applyFont="1" applyFill="1" applyBorder="1"/>
    <xf numFmtId="168" fontId="14" fillId="0" borderId="139" xfId="3" applyNumberFormat="1" applyFont="1" applyFill="1" applyBorder="1"/>
    <xf numFmtId="168" fontId="18" fillId="0" borderId="139" xfId="3" applyNumberFormat="1" applyFont="1" applyFill="1" applyBorder="1"/>
    <xf numFmtId="168" fontId="14" fillId="0" borderId="138" xfId="3" applyNumberFormat="1" applyFont="1" applyFill="1" applyBorder="1"/>
    <xf numFmtId="168" fontId="14" fillId="0" borderId="147" xfId="3" applyNumberFormat="1" applyFont="1" applyFill="1" applyBorder="1"/>
    <xf numFmtId="37" fontId="18" fillId="0" borderId="168" xfId="3" applyNumberFormat="1" applyFont="1" applyFill="1" applyBorder="1"/>
    <xf numFmtId="168" fontId="44" fillId="0" borderId="111" xfId="3" applyNumberFormat="1" applyFont="1" applyFill="1" applyBorder="1"/>
    <xf numFmtId="168" fontId="14" fillId="0" borderId="159" xfId="3" applyNumberFormat="1" applyFont="1" applyFill="1" applyBorder="1"/>
    <xf numFmtId="168" fontId="61" fillId="0" borderId="0" xfId="3" applyNumberFormat="1" applyFont="1" applyFill="1" applyBorder="1"/>
    <xf numFmtId="164" fontId="3" fillId="0" borderId="11" xfId="0" applyNumberFormat="1" applyFont="1" applyBorder="1"/>
    <xf numFmtId="37" fontId="3" fillId="0" borderId="12" xfId="0" applyNumberFormat="1" applyFont="1" applyBorder="1"/>
    <xf numFmtId="37" fontId="3" fillId="0" borderId="13" xfId="0" quotePrefix="1" applyNumberFormat="1" applyFont="1" applyBorder="1" applyAlignment="1">
      <alignment horizontal="right"/>
    </xf>
    <xf numFmtId="37" fontId="3" fillId="0" borderId="11" xfId="0" quotePrefix="1" applyNumberFormat="1" applyFont="1" applyBorder="1" applyAlignment="1">
      <alignment horizontal="right"/>
    </xf>
    <xf numFmtId="164" fontId="3" fillId="0" borderId="15" xfId="0" applyNumberFormat="1" applyFont="1" applyBorder="1"/>
    <xf numFmtId="37" fontId="3" fillId="0" borderId="16" xfId="0" applyNumberFormat="1" applyFont="1" applyBorder="1"/>
    <xf numFmtId="37" fontId="3" fillId="0" borderId="17" xfId="0" applyNumberFormat="1" applyFont="1" applyBorder="1"/>
    <xf numFmtId="37" fontId="3" fillId="0" borderId="15" xfId="1" applyNumberFormat="1" applyFont="1" applyBorder="1"/>
    <xf numFmtId="164" fontId="3" fillId="0" borderId="20" xfId="0" applyNumberFormat="1" applyFont="1" applyBorder="1"/>
    <xf numFmtId="37" fontId="3" fillId="0" borderId="21" xfId="0" applyNumberFormat="1" applyFont="1" applyBorder="1"/>
    <xf numFmtId="37" fontId="3" fillId="0" borderId="22" xfId="0" applyNumberFormat="1" applyFont="1" applyBorder="1"/>
    <xf numFmtId="37" fontId="3" fillId="0" borderId="20" xfId="1" applyNumberFormat="1" applyFont="1" applyBorder="1"/>
    <xf numFmtId="164" fontId="3" fillId="0" borderId="2" xfId="0" applyNumberFormat="1" applyFont="1" applyBorder="1"/>
    <xf numFmtId="37" fontId="3" fillId="0" borderId="2" xfId="0" applyNumberFormat="1" applyFont="1" applyBorder="1"/>
    <xf numFmtId="37" fontId="3" fillId="0" borderId="3" xfId="1" applyNumberFormat="1" applyFont="1" applyBorder="1"/>
    <xf numFmtId="37" fontId="3" fillId="0" borderId="23" xfId="0" quotePrefix="1" applyNumberFormat="1" applyFont="1" applyBorder="1" applyAlignment="1">
      <alignment horizontal="right"/>
    </xf>
    <xf numFmtId="37" fontId="3" fillId="0" borderId="11" xfId="1" quotePrefix="1" applyNumberFormat="1" applyFont="1" applyBorder="1" applyAlignment="1">
      <alignment horizontal="right"/>
    </xf>
    <xf numFmtId="37" fontId="3" fillId="0" borderId="24" xfId="0" applyNumberFormat="1" applyFont="1" applyBorder="1"/>
    <xf numFmtId="37" fontId="3" fillId="0" borderId="25" xfId="0" applyNumberFormat="1" applyFont="1" applyBorder="1"/>
    <xf numFmtId="37" fontId="3" fillId="0" borderId="7" xfId="0" applyNumberFormat="1" applyFont="1" applyBorder="1" applyAlignment="1">
      <alignment horizontal="right"/>
    </xf>
    <xf numFmtId="37" fontId="3" fillId="0" borderId="8" xfId="0" quotePrefix="1" applyNumberFormat="1" applyFont="1" applyBorder="1" applyAlignment="1">
      <alignment horizontal="right"/>
    </xf>
    <xf numFmtId="37" fontId="3" fillId="0" borderId="6" xfId="0" applyNumberFormat="1" applyFont="1" applyBorder="1" applyAlignment="1">
      <alignment horizontal="right"/>
    </xf>
    <xf numFmtId="3" fontId="13" fillId="0" borderId="0" xfId="3" applyNumberFormat="1" applyFont="1" applyFill="1"/>
    <xf numFmtId="167" fontId="13" fillId="0" borderId="0" xfId="3" applyNumberFormat="1" applyFont="1" applyFill="1" applyBorder="1"/>
    <xf numFmtId="3" fontId="13" fillId="0" borderId="0" xfId="3" applyNumberFormat="1" applyFont="1" applyFill="1" applyBorder="1"/>
    <xf numFmtId="168" fontId="13" fillId="0" borderId="0" xfId="3" applyNumberFormat="1" applyFont="1" applyFill="1" applyBorder="1"/>
    <xf numFmtId="0" fontId="14" fillId="0" borderId="0" xfId="2" applyFont="1" applyFill="1"/>
    <xf numFmtId="0" fontId="17" fillId="0" borderId="0" xfId="2" applyFont="1" applyFill="1"/>
    <xf numFmtId="0" fontId="18" fillId="0" borderId="0" xfId="2" applyFont="1" applyFill="1" applyAlignment="1">
      <alignment horizontal="center" wrapText="1"/>
    </xf>
    <xf numFmtId="0" fontId="18" fillId="0" borderId="0" xfId="2" applyFont="1" applyFill="1"/>
    <xf numFmtId="0" fontId="18" fillId="0" borderId="26" xfId="2" applyFont="1" applyFill="1" applyBorder="1" applyAlignment="1">
      <alignment horizontal="center" wrapText="1"/>
    </xf>
    <xf numFmtId="165" fontId="18" fillId="0" borderId="26" xfId="2" applyNumberFormat="1" applyFont="1" applyFill="1" applyBorder="1" applyAlignment="1">
      <alignment horizontal="center" wrapText="1"/>
    </xf>
    <xf numFmtId="166" fontId="19" fillId="0" borderId="26" xfId="2" applyNumberFormat="1" applyFont="1" applyFill="1" applyBorder="1" applyAlignment="1">
      <alignment horizontal="center" wrapText="1"/>
    </xf>
    <xf numFmtId="0" fontId="22" fillId="0" borderId="4" xfId="2" applyFont="1" applyFill="1" applyBorder="1" applyAlignment="1">
      <alignment wrapText="1"/>
    </xf>
    <xf numFmtId="0" fontId="18" fillId="0" borderId="27" xfId="2" applyFont="1" applyFill="1" applyBorder="1" applyAlignment="1">
      <alignment horizontal="center"/>
    </xf>
    <xf numFmtId="0" fontId="18" fillId="0" borderId="28" xfId="2" applyFont="1" applyFill="1" applyBorder="1" applyAlignment="1">
      <alignment horizontal="center"/>
    </xf>
    <xf numFmtId="0" fontId="18" fillId="0" borderId="8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/>
    </xf>
    <xf numFmtId="0" fontId="18" fillId="0" borderId="115" xfId="2" quotePrefix="1" applyFont="1" applyFill="1" applyBorder="1" applyAlignment="1">
      <alignment horizontal="center" wrapText="1"/>
    </xf>
    <xf numFmtId="0" fontId="18" fillId="0" borderId="6" xfId="2" quotePrefix="1" applyFont="1" applyFill="1" applyBorder="1" applyAlignment="1">
      <alignment horizontal="center" wrapText="1"/>
    </xf>
    <xf numFmtId="0" fontId="66" fillId="0" borderId="18" xfId="2" applyFont="1" applyFill="1" applyBorder="1" applyAlignment="1">
      <alignment horizontal="center" wrapText="1"/>
    </xf>
    <xf numFmtId="167" fontId="18" fillId="0" borderId="26" xfId="3" applyNumberFormat="1" applyFont="1" applyFill="1" applyBorder="1" applyAlignment="1">
      <alignment horizontal="center" wrapText="1"/>
    </xf>
    <xf numFmtId="0" fontId="18" fillId="0" borderId="18" xfId="2" applyFont="1" applyFill="1" applyBorder="1"/>
    <xf numFmtId="168" fontId="14" fillId="0" borderId="22" xfId="3" applyNumberFormat="1" applyFont="1" applyFill="1" applyBorder="1" applyProtection="1"/>
    <xf numFmtId="167" fontId="18" fillId="0" borderId="26" xfId="3" applyNumberFormat="1" applyFont="1" applyFill="1" applyBorder="1" applyAlignment="1">
      <alignment horizontal="center"/>
    </xf>
    <xf numFmtId="168" fontId="14" fillId="0" borderId="0" xfId="2" applyNumberFormat="1" applyFont="1" applyFill="1" applyAlignment="1">
      <alignment horizontal="left"/>
    </xf>
    <xf numFmtId="0" fontId="18" fillId="0" borderId="30" xfId="2" applyFont="1" applyFill="1" applyBorder="1"/>
    <xf numFmtId="168" fontId="18" fillId="0" borderId="31" xfId="3" applyNumberFormat="1" applyFont="1" applyFill="1" applyBorder="1" applyProtection="1"/>
    <xf numFmtId="168" fontId="19" fillId="0" borderId="155" xfId="3" applyNumberFormat="1" applyFont="1" applyFill="1" applyBorder="1"/>
    <xf numFmtId="168" fontId="19" fillId="0" borderId="156" xfId="3" applyNumberFormat="1" applyFont="1" applyFill="1" applyBorder="1"/>
    <xf numFmtId="167" fontId="18" fillId="0" borderId="33" xfId="3" applyNumberFormat="1" applyFont="1" applyFill="1" applyBorder="1" applyAlignment="1">
      <alignment horizontal="center"/>
    </xf>
    <xf numFmtId="14" fontId="14" fillId="0" borderId="0" xfId="2" applyNumberFormat="1" applyFont="1" applyFill="1" applyAlignment="1">
      <alignment horizontal="left"/>
    </xf>
    <xf numFmtId="0" fontId="14" fillId="0" borderId="16" xfId="2" applyFont="1" applyFill="1" applyBorder="1" applyAlignment="1">
      <alignment horizontal="right"/>
    </xf>
    <xf numFmtId="167" fontId="18" fillId="0" borderId="34" xfId="3" applyNumberFormat="1" applyFont="1" applyFill="1" applyBorder="1" applyAlignment="1">
      <alignment horizontal="center"/>
    </xf>
    <xf numFmtId="0" fontId="14" fillId="0" borderId="35" xfId="2" applyFont="1" applyFill="1" applyBorder="1" applyAlignment="1">
      <alignment horizontal="right"/>
    </xf>
    <xf numFmtId="167" fontId="18" fillId="0" borderId="38" xfId="3" applyNumberFormat="1" applyFont="1" applyFill="1" applyBorder="1" applyAlignment="1">
      <alignment horizontal="center"/>
    </xf>
    <xf numFmtId="0" fontId="18" fillId="0" borderId="7" xfId="2" applyFont="1" applyFill="1" applyBorder="1" applyAlignment="1">
      <alignment horizontal="left"/>
    </xf>
    <xf numFmtId="168" fontId="14" fillId="0" borderId="28" xfId="3" applyNumberFormat="1" applyFont="1" applyFill="1" applyBorder="1" applyAlignment="1">
      <alignment horizontal="center"/>
    </xf>
    <xf numFmtId="168" fontId="14" fillId="0" borderId="0" xfId="2" applyNumberFormat="1" applyFont="1" applyFill="1"/>
    <xf numFmtId="0" fontId="18" fillId="0" borderId="7" xfId="2" applyFont="1" applyFill="1" applyBorder="1"/>
    <xf numFmtId="167" fontId="18" fillId="0" borderId="40" xfId="3" applyNumberFormat="1" applyFont="1" applyFill="1" applyBorder="1" applyAlignment="1">
      <alignment horizontal="center"/>
    </xf>
    <xf numFmtId="168" fontId="19" fillId="0" borderId="155" xfId="3" applyNumberFormat="1" applyFont="1" applyFill="1" applyBorder="1" applyAlignment="1">
      <alignment horizontal="center"/>
    </xf>
    <xf numFmtId="168" fontId="19" fillId="0" borderId="156" xfId="3" applyNumberFormat="1" applyFont="1" applyFill="1" applyBorder="1" applyAlignment="1">
      <alignment horizontal="center"/>
    </xf>
    <xf numFmtId="0" fontId="14" fillId="0" borderId="16" xfId="2" applyFont="1" applyFill="1" applyBorder="1" applyAlignment="1">
      <alignment horizontal="right" wrapText="1"/>
    </xf>
    <xf numFmtId="168" fontId="19" fillId="0" borderId="160" xfId="3" applyNumberFormat="1" applyFont="1" applyFill="1" applyBorder="1" applyAlignment="1">
      <alignment horizontal="center"/>
    </xf>
    <xf numFmtId="43" fontId="14" fillId="0" borderId="0" xfId="2" applyNumberFormat="1" applyFont="1" applyFill="1"/>
    <xf numFmtId="0" fontId="14" fillId="0" borderId="35" xfId="2" applyFont="1" applyFill="1" applyBorder="1" applyAlignment="1">
      <alignment horizontal="right" wrapText="1"/>
    </xf>
    <xf numFmtId="0" fontId="18" fillId="0" borderId="161" xfId="2" applyFont="1" applyFill="1" applyBorder="1"/>
    <xf numFmtId="168" fontId="14" fillId="0" borderId="162" xfId="3" applyNumberFormat="1" applyFont="1" applyFill="1" applyBorder="1" applyProtection="1"/>
    <xf numFmtId="168" fontId="14" fillId="0" borderId="162" xfId="3" applyNumberFormat="1" applyFont="1" applyFill="1" applyBorder="1" applyAlignment="1">
      <alignment horizontal="center"/>
    </xf>
    <xf numFmtId="168" fontId="19" fillId="0" borderId="3" xfId="3" applyNumberFormat="1" applyFont="1" applyFill="1" applyBorder="1" applyAlignment="1">
      <alignment horizontal="center"/>
    </xf>
    <xf numFmtId="167" fontId="18" fillId="0" borderId="142" xfId="3" applyNumberFormat="1" applyFont="1" applyFill="1" applyBorder="1" applyAlignment="1">
      <alignment horizontal="center"/>
    </xf>
    <xf numFmtId="167" fontId="27" fillId="0" borderId="0" xfId="3" applyNumberFormat="1" applyFont="1" applyFill="1"/>
    <xf numFmtId="0" fontId="18" fillId="0" borderId="45" xfId="2" applyFont="1" applyFill="1" applyBorder="1"/>
    <xf numFmtId="169" fontId="19" fillId="0" borderId="26" xfId="3" applyNumberFormat="1" applyFont="1" applyFill="1" applyBorder="1" applyAlignment="1">
      <alignment horizontal="center" wrapText="1"/>
    </xf>
    <xf numFmtId="0" fontId="18" fillId="0" borderId="115" xfId="2" applyFont="1" applyFill="1" applyBorder="1" applyAlignment="1">
      <alignment horizontal="center" wrapText="1"/>
    </xf>
    <xf numFmtId="0" fontId="18" fillId="0" borderId="26" xfId="2" quotePrefix="1" applyFont="1" applyFill="1" applyBorder="1" applyAlignment="1">
      <alignment horizontal="center" wrapText="1"/>
    </xf>
    <xf numFmtId="0" fontId="66" fillId="0" borderId="4" xfId="2" applyFont="1" applyFill="1" applyBorder="1" applyAlignment="1">
      <alignment horizontal="center" wrapText="1"/>
    </xf>
    <xf numFmtId="168" fontId="18" fillId="0" borderId="0" xfId="2" applyNumberFormat="1" applyFont="1" applyFill="1"/>
    <xf numFmtId="167" fontId="18" fillId="0" borderId="26" xfId="3" applyNumberFormat="1" applyFont="1" applyFill="1" applyBorder="1"/>
    <xf numFmtId="167" fontId="18" fillId="0" borderId="33" xfId="3" applyNumberFormat="1" applyFont="1" applyFill="1" applyBorder="1"/>
    <xf numFmtId="167" fontId="18" fillId="0" borderId="34" xfId="3" applyNumberFormat="1" applyFont="1" applyFill="1" applyBorder="1"/>
    <xf numFmtId="0" fontId="14" fillId="0" borderId="9" xfId="2" applyFont="1" applyFill="1" applyBorder="1" applyAlignment="1">
      <alignment horizontal="right"/>
    </xf>
    <xf numFmtId="168" fontId="14" fillId="0" borderId="132" xfId="3" applyNumberFormat="1" applyFont="1" applyFill="1" applyBorder="1" applyProtection="1"/>
    <xf numFmtId="168" fontId="14" fillId="0" borderId="120" xfId="3" applyNumberFormat="1" applyFont="1" applyFill="1" applyBorder="1" applyProtection="1"/>
    <xf numFmtId="168" fontId="14" fillId="0" borderId="120" xfId="3" applyNumberFormat="1" applyFont="1" applyFill="1" applyBorder="1" applyAlignment="1">
      <alignment horizontal="center"/>
    </xf>
    <xf numFmtId="168" fontId="14" fillId="0" borderId="0" xfId="3" applyNumberFormat="1" applyFont="1" applyFill="1" applyBorder="1" applyAlignment="1">
      <alignment horizontal="center"/>
    </xf>
    <xf numFmtId="168" fontId="18" fillId="0" borderId="132" xfId="3" applyNumberFormat="1" applyFont="1" applyFill="1" applyBorder="1" applyAlignment="1">
      <alignment horizontal="center"/>
    </xf>
    <xf numFmtId="168" fontId="19" fillId="0" borderId="39" xfId="3" applyNumberFormat="1" applyFont="1" applyFill="1" applyBorder="1"/>
    <xf numFmtId="168" fontId="19" fillId="0" borderId="25" xfId="3" applyNumberFormat="1" applyFont="1" applyFill="1" applyBorder="1"/>
    <xf numFmtId="167" fontId="18" fillId="0" borderId="40" xfId="3" applyNumberFormat="1" applyFont="1" applyFill="1" applyBorder="1"/>
    <xf numFmtId="168" fontId="19" fillId="0" borderId="90" xfId="3" applyNumberFormat="1" applyFont="1" applyFill="1" applyBorder="1"/>
    <xf numFmtId="168" fontId="19" fillId="0" borderId="41" xfId="3" applyNumberFormat="1" applyFont="1" applyFill="1" applyBorder="1"/>
    <xf numFmtId="167" fontId="18" fillId="0" borderId="38" xfId="3" applyNumberFormat="1" applyFont="1" applyFill="1" applyBorder="1"/>
    <xf numFmtId="0" fontId="18" fillId="0" borderId="30" xfId="2" applyFont="1" applyFill="1" applyBorder="1" applyAlignment="1">
      <alignment horizontal="left"/>
    </xf>
    <xf numFmtId="168" fontId="14" fillId="0" borderId="31" xfId="3" applyNumberFormat="1" applyFont="1" applyFill="1" applyBorder="1" applyProtection="1"/>
    <xf numFmtId="168" fontId="14" fillId="0" borderId="31" xfId="3" applyNumberFormat="1" applyFont="1" applyFill="1" applyBorder="1" applyAlignment="1">
      <alignment horizontal="center"/>
    </xf>
    <xf numFmtId="0" fontId="18" fillId="0" borderId="16" xfId="2" applyFont="1" applyFill="1" applyBorder="1"/>
    <xf numFmtId="0" fontId="18" fillId="0" borderId="47" xfId="2" applyFont="1" applyFill="1" applyBorder="1"/>
    <xf numFmtId="168" fontId="14" fillId="0" borderId="48" xfId="3" applyNumberFormat="1" applyFont="1" applyFill="1" applyBorder="1" applyProtection="1"/>
    <xf numFmtId="168" fontId="14" fillId="0" borderId="48" xfId="3" applyNumberFormat="1" applyFont="1" applyFill="1" applyBorder="1" applyAlignment="1">
      <alignment horizontal="center"/>
    </xf>
    <xf numFmtId="168" fontId="18" fillId="0" borderId="48" xfId="3" applyNumberFormat="1" applyFont="1" applyFill="1" applyBorder="1" applyAlignment="1">
      <alignment horizontal="center"/>
    </xf>
    <xf numFmtId="167" fontId="18" fillId="0" borderId="49" xfId="3" applyNumberFormat="1" applyFont="1" applyFill="1" applyBorder="1"/>
    <xf numFmtId="1" fontId="14" fillId="0" borderId="0" xfId="2" applyNumberFormat="1" applyFont="1" applyFill="1"/>
    <xf numFmtId="0" fontId="18" fillId="0" borderId="0" xfId="2" applyFont="1" applyFill="1" applyAlignment="1">
      <alignment horizontal="center"/>
    </xf>
    <xf numFmtId="169" fontId="19" fillId="0" borderId="26" xfId="2" applyNumberFormat="1" applyFont="1" applyFill="1" applyBorder="1" applyAlignment="1">
      <alignment horizontal="center" wrapText="1"/>
    </xf>
    <xf numFmtId="0" fontId="18" fillId="0" borderId="6" xfId="2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 wrapText="1"/>
    </xf>
    <xf numFmtId="0" fontId="18" fillId="0" borderId="4" xfId="2" applyFont="1" applyFill="1" applyBorder="1"/>
    <xf numFmtId="168" fontId="14" fillId="0" borderId="27" xfId="3" applyNumberFormat="1" applyFont="1" applyFill="1" applyBorder="1" applyProtection="1"/>
    <xf numFmtId="168" fontId="14" fillId="0" borderId="8" xfId="3" applyNumberFormat="1" applyFont="1" applyFill="1" applyBorder="1" applyProtection="1"/>
    <xf numFmtId="168" fontId="18" fillId="0" borderId="28" xfId="3" applyNumberFormat="1" applyFont="1" applyFill="1" applyBorder="1" applyProtection="1"/>
    <xf numFmtId="168" fontId="18" fillId="0" borderId="25" xfId="3" applyNumberFormat="1" applyFont="1" applyFill="1" applyBorder="1" applyProtection="1"/>
    <xf numFmtId="168" fontId="18" fillId="0" borderId="36" xfId="3" applyNumberFormat="1" applyFont="1" applyFill="1" applyBorder="1" applyProtection="1"/>
    <xf numFmtId="168" fontId="14" fillId="0" borderId="24" xfId="3" applyNumberFormat="1" applyFont="1" applyFill="1" applyBorder="1" applyAlignment="1" applyProtection="1">
      <alignment horizontal="right"/>
    </xf>
    <xf numFmtId="168" fontId="27" fillId="0" borderId="0" xfId="3" applyNumberFormat="1" applyFont="1" applyFill="1"/>
    <xf numFmtId="170" fontId="18" fillId="0" borderId="45" xfId="5" applyFont="1" applyFill="1" applyBorder="1" applyAlignment="1">
      <alignment horizontal="left"/>
    </xf>
    <xf numFmtId="0" fontId="14" fillId="0" borderId="45" xfId="2" applyFont="1" applyFill="1" applyBorder="1"/>
    <xf numFmtId="168" fontId="14" fillId="0" borderId="45" xfId="2" applyNumberFormat="1" applyFont="1" applyFill="1" applyBorder="1"/>
    <xf numFmtId="0" fontId="19" fillId="0" borderId="0" xfId="2" applyFont="1" applyFill="1"/>
    <xf numFmtId="0" fontId="35" fillId="0" borderId="0" xfId="2" applyFont="1" applyFill="1"/>
    <xf numFmtId="170" fontId="14" fillId="0" borderId="0" xfId="5" applyFont="1" applyFill="1"/>
    <xf numFmtId="168" fontId="14" fillId="0" borderId="0" xfId="2" applyNumberFormat="1" applyFont="1" applyFill="1" applyAlignment="1">
      <alignment horizontal="center" wrapText="1"/>
    </xf>
    <xf numFmtId="0" fontId="14" fillId="0" borderId="0" xfId="2" applyFont="1" applyFill="1" applyAlignment="1">
      <alignment horizontal="center" wrapText="1"/>
    </xf>
    <xf numFmtId="165" fontId="14" fillId="0" borderId="0" xfId="2" applyNumberFormat="1" applyFont="1" applyFill="1" applyAlignment="1">
      <alignment horizontal="center" wrapText="1"/>
    </xf>
    <xf numFmtId="165" fontId="23" fillId="0" borderId="0" xfId="2" applyNumberFormat="1" applyFont="1" applyFill="1" applyAlignment="1">
      <alignment horizontal="center" wrapText="1"/>
    </xf>
    <xf numFmtId="0" fontId="35" fillId="0" borderId="0" xfId="2" applyFont="1" applyFill="1" applyAlignment="1">
      <alignment horizontal="left"/>
    </xf>
    <xf numFmtId="165" fontId="14" fillId="0" borderId="7" xfId="2" applyNumberFormat="1" applyFont="1" applyFill="1" applyBorder="1" applyAlignment="1">
      <alignment horizontal="center" wrapText="1"/>
    </xf>
    <xf numFmtId="0" fontId="14" fillId="0" borderId="115" xfId="2" applyFont="1" applyFill="1" applyBorder="1" applyAlignment="1">
      <alignment horizontal="center" wrapText="1"/>
    </xf>
    <xf numFmtId="166" fontId="23" fillId="0" borderId="26" xfId="2" applyNumberFormat="1" applyFont="1" applyFill="1" applyBorder="1" applyAlignment="1">
      <alignment horizontal="center" wrapText="1"/>
    </xf>
    <xf numFmtId="0" fontId="13" fillId="0" borderId="0" xfId="2" applyFill="1"/>
    <xf numFmtId="170" fontId="18" fillId="0" borderId="28" xfId="5" applyFont="1" applyFill="1" applyBorder="1" applyAlignment="1">
      <alignment horizontal="center"/>
    </xf>
    <xf numFmtId="170" fontId="18" fillId="0" borderId="8" xfId="5" applyFont="1" applyFill="1" applyBorder="1" applyAlignment="1">
      <alignment horizontal="center"/>
    </xf>
    <xf numFmtId="170" fontId="18" fillId="0" borderId="27" xfId="5" applyFont="1" applyFill="1" applyBorder="1" applyAlignment="1">
      <alignment horizontal="center"/>
    </xf>
    <xf numFmtId="170" fontId="18" fillId="0" borderId="6" xfId="5" quotePrefix="1" applyFont="1" applyFill="1" applyBorder="1" applyAlignment="1">
      <alignment horizontal="center"/>
    </xf>
    <xf numFmtId="170" fontId="18" fillId="0" borderId="5" xfId="5" quotePrefix="1" applyFont="1" applyFill="1" applyBorder="1" applyAlignment="1">
      <alignment horizontal="center"/>
    </xf>
    <xf numFmtId="167" fontId="18" fillId="0" borderId="116" xfId="3" applyNumberFormat="1" applyFont="1" applyFill="1" applyBorder="1" applyAlignment="1">
      <alignment wrapText="1"/>
    </xf>
    <xf numFmtId="170" fontId="18" fillId="0" borderId="0" xfId="5" applyFont="1" applyFill="1"/>
    <xf numFmtId="170" fontId="14" fillId="0" borderId="12" xfId="5" applyFont="1" applyFill="1" applyBorder="1"/>
    <xf numFmtId="168" fontId="14" fillId="0" borderId="65" xfId="3" applyNumberFormat="1" applyFont="1" applyFill="1" applyBorder="1" applyAlignment="1">
      <alignment horizontal="center"/>
    </xf>
    <xf numFmtId="168" fontId="14" fillId="0" borderId="10" xfId="3" applyNumberFormat="1" applyFont="1" applyFill="1" applyBorder="1" applyAlignment="1">
      <alignment horizontal="center"/>
    </xf>
    <xf numFmtId="168" fontId="23" fillId="0" borderId="31" xfId="3" applyNumberFormat="1" applyFont="1" applyFill="1" applyBorder="1" applyAlignment="1">
      <alignment horizontal="center"/>
    </xf>
    <xf numFmtId="168" fontId="23" fillId="0" borderId="32" xfId="3" applyNumberFormat="1" applyFont="1" applyFill="1" applyBorder="1" applyAlignment="1">
      <alignment horizontal="center"/>
    </xf>
    <xf numFmtId="168" fontId="18" fillId="0" borderId="89" xfId="3" applyNumberFormat="1" applyFont="1" applyFill="1" applyBorder="1"/>
    <xf numFmtId="170" fontId="14" fillId="0" borderId="16" xfId="5" applyFont="1" applyFill="1" applyBorder="1"/>
    <xf numFmtId="167" fontId="13" fillId="0" borderId="0" xfId="2" applyNumberFormat="1" applyFont="1" applyFill="1"/>
    <xf numFmtId="168" fontId="23" fillId="0" borderId="10" xfId="3" applyNumberFormat="1" applyFont="1" applyFill="1" applyBorder="1"/>
    <xf numFmtId="168" fontId="13" fillId="0" borderId="0" xfId="2" applyNumberFormat="1" applyFont="1" applyFill="1"/>
    <xf numFmtId="0" fontId="13" fillId="0" borderId="0" xfId="2" applyFont="1" applyFill="1"/>
    <xf numFmtId="168" fontId="14" fillId="0" borderId="17" xfId="3" applyNumberFormat="1" applyFont="1" applyFill="1" applyBorder="1"/>
    <xf numFmtId="170" fontId="14" fillId="0" borderId="118" xfId="5" applyFont="1" applyFill="1" applyBorder="1"/>
    <xf numFmtId="168" fontId="18" fillId="0" borderId="122" xfId="3" applyNumberFormat="1" applyFont="1" applyFill="1" applyBorder="1"/>
    <xf numFmtId="170" fontId="23" fillId="0" borderId="52" xfId="5" quotePrefix="1" applyFont="1" applyFill="1" applyBorder="1" applyAlignment="1">
      <alignment horizontal="left"/>
    </xf>
    <xf numFmtId="168" fontId="23" fillId="0" borderId="164" xfId="3" applyNumberFormat="1" applyFont="1" applyFill="1" applyBorder="1"/>
    <xf numFmtId="168" fontId="18" fillId="0" borderId="165" xfId="3" applyNumberFormat="1" applyFont="1" applyFill="1" applyBorder="1"/>
    <xf numFmtId="37" fontId="14" fillId="0" borderId="0" xfId="2" applyNumberFormat="1" applyFont="1" applyFill="1" applyAlignment="1">
      <alignment horizontal="left"/>
    </xf>
    <xf numFmtId="170" fontId="23" fillId="0" borderId="0" xfId="5" applyFont="1" applyFill="1"/>
    <xf numFmtId="0" fontId="18" fillId="0" borderId="45" xfId="2" applyFont="1" applyFill="1" applyBorder="1" applyAlignment="1">
      <alignment horizontal="center"/>
    </xf>
    <xf numFmtId="0" fontId="14" fillId="0" borderId="45" xfId="2" applyFont="1" applyFill="1" applyBorder="1" applyAlignment="1">
      <alignment horizontal="center"/>
    </xf>
    <xf numFmtId="168" fontId="14" fillId="0" borderId="45" xfId="2" applyNumberFormat="1" applyFont="1" applyFill="1" applyBorder="1" applyAlignment="1">
      <alignment horizontal="center"/>
    </xf>
    <xf numFmtId="0" fontId="18" fillId="0" borderId="19" xfId="2" applyFont="1" applyFill="1" applyBorder="1" applyAlignment="1">
      <alignment horizontal="center"/>
    </xf>
    <xf numFmtId="0" fontId="14" fillId="0" borderId="19" xfId="2" applyFont="1" applyFill="1" applyBorder="1" applyAlignment="1">
      <alignment horizontal="center"/>
    </xf>
    <xf numFmtId="168" fontId="14" fillId="0" borderId="19" xfId="2" applyNumberFormat="1" applyFont="1" applyFill="1" applyBorder="1" applyAlignment="1">
      <alignment horizontal="center"/>
    </xf>
    <xf numFmtId="166" fontId="23" fillId="0" borderId="4" xfId="2" applyNumberFormat="1" applyFont="1" applyFill="1" applyBorder="1" applyAlignment="1">
      <alignment horizontal="center" wrapText="1"/>
    </xf>
    <xf numFmtId="0" fontId="18" fillId="0" borderId="26" xfId="2" applyFont="1" applyFill="1" applyBorder="1" applyAlignment="1">
      <alignment horizontal="center"/>
    </xf>
    <xf numFmtId="0" fontId="18" fillId="0" borderId="4" xfId="2" applyFont="1" applyFill="1" applyBorder="1" applyAlignment="1">
      <alignment horizontal="center" wrapText="1"/>
    </xf>
    <xf numFmtId="167" fontId="18" fillId="0" borderId="116" xfId="3" applyNumberFormat="1" applyFont="1" applyFill="1" applyBorder="1" applyAlignment="1">
      <alignment horizontal="center" wrapText="1"/>
    </xf>
    <xf numFmtId="168" fontId="18" fillId="0" borderId="10" xfId="3" applyNumberFormat="1" applyFont="1" applyFill="1" applyBorder="1" applyAlignment="1">
      <alignment horizontal="center"/>
    </xf>
    <xf numFmtId="167" fontId="18" fillId="0" borderId="89" xfId="3" applyNumberFormat="1" applyFont="1" applyFill="1" applyBorder="1"/>
    <xf numFmtId="167" fontId="18" fillId="0" borderId="69" xfId="3" applyNumberFormat="1" applyFont="1" applyFill="1" applyBorder="1"/>
    <xf numFmtId="167" fontId="18" fillId="0" borderId="84" xfId="3" applyNumberFormat="1" applyFont="1" applyFill="1" applyBorder="1"/>
    <xf numFmtId="168" fontId="19" fillId="0" borderId="42" xfId="3" applyNumberFormat="1" applyFont="1" applyFill="1" applyBorder="1"/>
    <xf numFmtId="168" fontId="19" fillId="0" borderId="54" xfId="3" applyNumberFormat="1" applyFont="1" applyFill="1" applyBorder="1"/>
    <xf numFmtId="167" fontId="18" fillId="0" borderId="166" xfId="3" applyNumberFormat="1" applyFont="1" applyFill="1" applyBorder="1"/>
    <xf numFmtId="170" fontId="23" fillId="0" borderId="0" xfId="5" quotePrefix="1" applyFont="1" applyFill="1" applyAlignment="1">
      <alignment horizontal="left"/>
    </xf>
    <xf numFmtId="167" fontId="23" fillId="0" borderId="0" xfId="3" applyNumberFormat="1" applyFont="1" applyFill="1" applyBorder="1"/>
    <xf numFmtId="167" fontId="23" fillId="0" borderId="45" xfId="3" applyNumberFormat="1" applyFont="1" applyFill="1" applyBorder="1"/>
    <xf numFmtId="170" fontId="18" fillId="0" borderId="6" xfId="5" applyFont="1" applyFill="1" applyBorder="1" applyAlignment="1">
      <alignment horizontal="center"/>
    </xf>
    <xf numFmtId="170" fontId="14" fillId="0" borderId="31" xfId="5" applyFont="1" applyFill="1" applyBorder="1"/>
    <xf numFmtId="37" fontId="14" fillId="0" borderId="65" xfId="5" applyNumberFormat="1" applyFont="1" applyFill="1" applyBorder="1"/>
    <xf numFmtId="37" fontId="14" fillId="0" borderId="23" xfId="5" applyNumberFormat="1" applyFont="1" applyFill="1" applyBorder="1"/>
    <xf numFmtId="37" fontId="14" fillId="0" borderId="10" xfId="5" applyNumberFormat="1" applyFont="1" applyFill="1" applyBorder="1"/>
    <xf numFmtId="170" fontId="14" fillId="0" borderId="23" xfId="5" applyFont="1" applyFill="1" applyBorder="1"/>
    <xf numFmtId="168" fontId="14" fillId="0" borderId="23" xfId="5" applyNumberFormat="1" applyFont="1" applyFill="1" applyBorder="1"/>
    <xf numFmtId="168" fontId="14" fillId="0" borderId="13" xfId="5" applyNumberFormat="1" applyFont="1" applyFill="1" applyBorder="1"/>
    <xf numFmtId="168" fontId="14" fillId="0" borderId="65" xfId="5" applyNumberFormat="1" applyFont="1" applyFill="1" applyBorder="1"/>
    <xf numFmtId="168" fontId="14" fillId="0" borderId="10" xfId="5" applyNumberFormat="1" applyFont="1" applyFill="1" applyBorder="1"/>
    <xf numFmtId="168" fontId="14" fillId="0" borderId="31" xfId="5" applyNumberFormat="1" applyFont="1" applyFill="1" applyBorder="1"/>
    <xf numFmtId="168" fontId="14" fillId="0" borderId="32" xfId="5" applyNumberFormat="1" applyFont="1" applyFill="1" applyBorder="1"/>
    <xf numFmtId="168" fontId="18" fillId="0" borderId="89" xfId="5" applyNumberFormat="1" applyFont="1" applyFill="1" applyBorder="1"/>
    <xf numFmtId="168" fontId="50" fillId="0" borderId="46" xfId="3" applyNumberFormat="1" applyFont="1" applyFill="1" applyBorder="1"/>
    <xf numFmtId="37" fontId="18" fillId="0" borderId="65" xfId="5" applyNumberFormat="1" applyFont="1" applyFill="1" applyBorder="1"/>
    <xf numFmtId="168" fontId="23" fillId="0" borderId="51" xfId="3" applyNumberFormat="1" applyFont="1" applyFill="1" applyBorder="1"/>
    <xf numFmtId="170" fontId="14" fillId="0" borderId="65" xfId="5" applyFont="1" applyFill="1" applyBorder="1"/>
    <xf numFmtId="170" fontId="14" fillId="0" borderId="10" xfId="5" applyFont="1" applyFill="1" applyBorder="1"/>
    <xf numFmtId="168" fontId="18" fillId="0" borderId="65" xfId="3" applyNumberFormat="1" applyFont="1" applyFill="1" applyBorder="1"/>
    <xf numFmtId="168" fontId="18" fillId="0" borderId="51" xfId="3" applyNumberFormat="1" applyFont="1" applyFill="1" applyBorder="1"/>
    <xf numFmtId="170" fontId="14" fillId="0" borderId="119" xfId="5" applyFont="1" applyFill="1" applyBorder="1"/>
    <xf numFmtId="168" fontId="14" fillId="0" borderId="120" xfId="5" applyNumberFormat="1" applyFont="1" applyFill="1" applyBorder="1"/>
    <xf numFmtId="168" fontId="14" fillId="0" borderId="0" xfId="5" applyNumberFormat="1" applyFont="1" applyFill="1"/>
    <xf numFmtId="168" fontId="14" fillId="0" borderId="121" xfId="5" applyNumberFormat="1" applyFont="1" applyFill="1" applyBorder="1"/>
    <xf numFmtId="168" fontId="14" fillId="0" borderId="119" xfId="5" applyNumberFormat="1" applyFont="1" applyFill="1" applyBorder="1"/>
    <xf numFmtId="168" fontId="23" fillId="0" borderId="76" xfId="3" applyNumberFormat="1" applyFont="1" applyFill="1" applyBorder="1"/>
    <xf numFmtId="167" fontId="23" fillId="0" borderId="52" xfId="3" quotePrefix="1" applyNumberFormat="1" applyFont="1" applyFill="1" applyBorder="1" applyAlignment="1">
      <alignment horizontal="left"/>
    </xf>
    <xf numFmtId="167" fontId="23" fillId="0" borderId="52" xfId="3" applyNumberFormat="1" applyFont="1" applyFill="1" applyBorder="1"/>
    <xf numFmtId="168" fontId="18" fillId="0" borderId="124" xfId="3" applyNumberFormat="1" applyFont="1" applyFill="1" applyBorder="1"/>
    <xf numFmtId="167" fontId="23" fillId="0" borderId="0" xfId="3" applyNumberFormat="1" applyFont="1" applyFill="1"/>
    <xf numFmtId="170" fontId="18" fillId="0" borderId="0" xfId="5" applyFont="1" applyFill="1" applyAlignment="1">
      <alignment horizontal="left"/>
    </xf>
    <xf numFmtId="168" fontId="22" fillId="0" borderId="42" xfId="2" applyNumberFormat="1" applyFont="1" applyFill="1" applyBorder="1"/>
    <xf numFmtId="0" fontId="27" fillId="0" borderId="43" xfId="2" applyFont="1" applyFill="1" applyBorder="1"/>
    <xf numFmtId="0" fontId="28" fillId="0" borderId="44" xfId="2" applyFont="1" applyFill="1" applyBorder="1"/>
    <xf numFmtId="170" fontId="14" fillId="0" borderId="45" xfId="5" applyFont="1" applyFill="1" applyBorder="1"/>
    <xf numFmtId="170" fontId="18" fillId="0" borderId="46" xfId="5" applyFont="1" applyFill="1" applyBorder="1"/>
    <xf numFmtId="171" fontId="14" fillId="0" borderId="0" xfId="3" applyNumberFormat="1" applyFont="1" applyFill="1" applyBorder="1"/>
    <xf numFmtId="168" fontId="29" fillId="0" borderId="50" xfId="3" applyNumberFormat="1" applyFont="1" applyFill="1" applyBorder="1" applyAlignment="1">
      <alignment horizontal="right"/>
    </xf>
    <xf numFmtId="170" fontId="29" fillId="0" borderId="51" xfId="5" applyFont="1" applyFill="1" applyBorder="1"/>
    <xf numFmtId="0" fontId="18" fillId="0" borderId="50" xfId="2" applyFont="1" applyFill="1" applyBorder="1"/>
    <xf numFmtId="167" fontId="18" fillId="0" borderId="51" xfId="3" applyNumberFormat="1" applyFont="1" applyFill="1" applyBorder="1"/>
    <xf numFmtId="168" fontId="29" fillId="0" borderId="56" xfId="3" applyNumberFormat="1" applyFont="1" applyFill="1" applyBorder="1" applyAlignment="1">
      <alignment horizontal="right"/>
    </xf>
    <xf numFmtId="168" fontId="29" fillId="0" borderId="57" xfId="3" applyNumberFormat="1" applyFont="1" applyFill="1" applyBorder="1"/>
    <xf numFmtId="0" fontId="14" fillId="0" borderId="50" xfId="2" applyFont="1" applyFill="1" applyBorder="1" applyAlignment="1">
      <alignment horizontal="right"/>
    </xf>
    <xf numFmtId="0" fontId="18" fillId="0" borderId="51" xfId="2" applyFont="1" applyFill="1" applyBorder="1" applyAlignment="1">
      <alignment horizontal="center"/>
    </xf>
    <xf numFmtId="0" fontId="31" fillId="0" borderId="51" xfId="2" applyFont="1" applyFill="1" applyBorder="1"/>
    <xf numFmtId="168" fontId="18" fillId="0" borderId="51" xfId="2" applyNumberFormat="1" applyFont="1" applyFill="1" applyBorder="1"/>
    <xf numFmtId="168" fontId="29" fillId="0" borderId="44" xfId="3" applyNumberFormat="1" applyFont="1" applyFill="1" applyBorder="1" applyAlignment="1">
      <alignment horizontal="right"/>
    </xf>
    <xf numFmtId="0" fontId="31" fillId="0" borderId="46" xfId="2" applyFont="1" applyFill="1" applyBorder="1"/>
    <xf numFmtId="0" fontId="28" fillId="0" borderId="0" xfId="2" applyFont="1" applyFill="1"/>
    <xf numFmtId="0" fontId="0" fillId="0" borderId="0" xfId="0" applyFill="1"/>
    <xf numFmtId="0" fontId="2" fillId="0" borderId="0" xfId="0" applyFont="1" applyFill="1"/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170" xfId="0" applyFont="1" applyFill="1" applyBorder="1" applyAlignment="1">
      <alignment horizontal="center" wrapText="1"/>
    </xf>
    <xf numFmtId="0" fontId="18" fillId="0" borderId="171" xfId="0" applyFont="1" applyFill="1" applyBorder="1" applyAlignment="1">
      <alignment horizontal="center" wrapText="1"/>
    </xf>
    <xf numFmtId="0" fontId="18" fillId="0" borderId="4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172" xfId="0" applyFont="1" applyFill="1" applyBorder="1" applyAlignment="1">
      <alignment horizontal="center" wrapText="1"/>
    </xf>
    <xf numFmtId="0" fontId="18" fillId="0" borderId="140" xfId="0" applyFont="1" applyFill="1" applyBorder="1" applyAlignment="1">
      <alignment horizontal="center" wrapText="1"/>
    </xf>
    <xf numFmtId="0" fontId="61" fillId="0" borderId="9" xfId="0" applyFont="1" applyFill="1" applyBorder="1" applyAlignment="1">
      <alignment horizontal="center"/>
    </xf>
    <xf numFmtId="168" fontId="61" fillId="0" borderId="29" xfId="3" applyNumberFormat="1" applyFont="1" applyFill="1" applyBorder="1"/>
    <xf numFmtId="2" fontId="61" fillId="0" borderId="10" xfId="0" applyNumberFormat="1" applyFont="1" applyFill="1" applyBorder="1"/>
    <xf numFmtId="168" fontId="61" fillId="0" borderId="68" xfId="3" applyNumberFormat="1" applyFont="1" applyFill="1" applyBorder="1"/>
    <xf numFmtId="2" fontId="61" fillId="0" borderId="99" xfId="0" applyNumberFormat="1" applyFont="1" applyFill="1" applyBorder="1"/>
    <xf numFmtId="3" fontId="61" fillId="0" borderId="157" xfId="3" applyNumberFormat="1" applyFont="1" applyFill="1" applyBorder="1"/>
    <xf numFmtId="43" fontId="61" fillId="0" borderId="105" xfId="0" applyNumberFormat="1" applyFont="1" applyFill="1" applyBorder="1"/>
    <xf numFmtId="1" fontId="61" fillId="0" borderId="23" xfId="3" applyNumberFormat="1" applyFont="1" applyFill="1" applyBorder="1"/>
    <xf numFmtId="168" fontId="61" fillId="0" borderId="157" xfId="3" applyNumberFormat="1" applyFont="1" applyFill="1" applyBorder="1"/>
    <xf numFmtId="0" fontId="61" fillId="0" borderId="0" xfId="0" applyFont="1" applyFill="1"/>
    <xf numFmtId="2" fontId="61" fillId="0" borderId="0" xfId="0" applyNumberFormat="1" applyFont="1" applyFill="1"/>
    <xf numFmtId="43" fontId="61" fillId="0" borderId="145" xfId="3" applyFont="1" applyFill="1" applyBorder="1" applyAlignment="1">
      <alignment wrapText="1"/>
    </xf>
    <xf numFmtId="3" fontId="61" fillId="0" borderId="66" xfId="3" applyNumberFormat="1" applyFont="1" applyFill="1" applyBorder="1"/>
    <xf numFmtId="2" fontId="61" fillId="0" borderId="66" xfId="0" applyNumberFormat="1" applyFont="1" applyFill="1" applyBorder="1"/>
    <xf numFmtId="168" fontId="61" fillId="0" borderId="69" xfId="3" applyNumberFormat="1" applyFont="1" applyFill="1" applyBorder="1"/>
    <xf numFmtId="43" fontId="61" fillId="0" borderId="103" xfId="3" applyFont="1" applyFill="1" applyBorder="1"/>
    <xf numFmtId="37" fontId="61" fillId="0" borderId="157" xfId="0" applyNumberFormat="1" applyFont="1" applyFill="1" applyBorder="1"/>
    <xf numFmtId="0" fontId="35" fillId="0" borderId="67" xfId="0" applyFont="1" applyFill="1" applyBorder="1" applyAlignment="1">
      <alignment horizontal="center"/>
    </xf>
    <xf numFmtId="0" fontId="18" fillId="0" borderId="173" xfId="0" applyFont="1" applyFill="1" applyBorder="1" applyAlignment="1">
      <alignment horizontal="center"/>
    </xf>
    <xf numFmtId="0" fontId="18" fillId="0" borderId="174" xfId="0" applyFont="1" applyFill="1" applyBorder="1" applyAlignment="1">
      <alignment horizontal="center"/>
    </xf>
    <xf numFmtId="0" fontId="18" fillId="0" borderId="175" xfId="0" applyFont="1" applyFill="1" applyBorder="1" applyAlignment="1">
      <alignment horizontal="center"/>
    </xf>
    <xf numFmtId="0" fontId="18" fillId="0" borderId="176" xfId="0" applyFont="1" applyFill="1" applyBorder="1" applyAlignment="1">
      <alignment horizontal="center"/>
    </xf>
    <xf numFmtId="0" fontId="18" fillId="0" borderId="177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8" fillId="0" borderId="178" xfId="0" applyFont="1" applyFill="1" applyBorder="1" applyAlignment="1">
      <alignment horizontal="center"/>
    </xf>
    <xf numFmtId="0" fontId="18" fillId="0" borderId="179" xfId="0" applyFont="1" applyFill="1" applyBorder="1" applyAlignment="1">
      <alignment horizontal="center"/>
    </xf>
    <xf numFmtId="0" fontId="18" fillId="0" borderId="180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wrapText="1"/>
    </xf>
    <xf numFmtId="0" fontId="18" fillId="0" borderId="181" xfId="0" applyFont="1" applyFill="1" applyBorder="1" applyAlignment="1">
      <alignment horizontal="center" wrapText="1"/>
    </xf>
    <xf numFmtId="0" fontId="18" fillId="0" borderId="182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183" xfId="0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8" fillId="0" borderId="184" xfId="0" applyFont="1" applyFill="1" applyBorder="1" applyAlignment="1">
      <alignment horizontal="center" wrapText="1"/>
    </xf>
    <xf numFmtId="0" fontId="18" fillId="0" borderId="38" xfId="0" applyFont="1" applyFill="1" applyBorder="1" applyAlignment="1">
      <alignment horizontal="center" wrapText="1"/>
    </xf>
    <xf numFmtId="0" fontId="18" fillId="0" borderId="185" xfId="0" applyFont="1" applyFill="1" applyBorder="1" applyAlignment="1">
      <alignment horizontal="center" wrapText="1"/>
    </xf>
    <xf numFmtId="0" fontId="14" fillId="0" borderId="144" xfId="0" applyFont="1" applyFill="1" applyBorder="1" applyAlignment="1">
      <alignment horizontal="center"/>
    </xf>
    <xf numFmtId="168" fontId="14" fillId="0" borderId="16" xfId="3" applyNumberFormat="1" applyFont="1" applyFill="1" applyBorder="1"/>
    <xf numFmtId="168" fontId="14" fillId="0" borderId="106" xfId="3" applyNumberFormat="1" applyFont="1" applyFill="1" applyBorder="1"/>
    <xf numFmtId="43" fontId="14" fillId="0" borderId="105" xfId="3" applyFont="1" applyFill="1" applyBorder="1"/>
    <xf numFmtId="2" fontId="14" fillId="0" borderId="105" xfId="0" applyNumberFormat="1" applyFont="1" applyFill="1" applyBorder="1"/>
    <xf numFmtId="168" fontId="14" fillId="0" borderId="24" xfId="0" applyNumberFormat="1" applyFont="1" applyFill="1" applyBorder="1"/>
    <xf numFmtId="168" fontId="14" fillId="0" borderId="106" xfId="0" applyNumberFormat="1" applyFont="1" applyFill="1" applyBorder="1"/>
    <xf numFmtId="0" fontId="19" fillId="0" borderId="0" xfId="0" applyFont="1" applyFill="1"/>
    <xf numFmtId="168" fontId="14" fillId="0" borderId="105" xfId="3" applyNumberFormat="1" applyFont="1" applyFill="1" applyBorder="1"/>
    <xf numFmtId="43" fontId="18" fillId="0" borderId="175" xfId="3" applyFont="1" applyFill="1" applyBorder="1" applyAlignment="1">
      <alignment horizontal="center"/>
    </xf>
    <xf numFmtId="0" fontId="18" fillId="0" borderId="0" xfId="0" applyFont="1" applyFill="1"/>
    <xf numFmtId="0" fontId="18" fillId="0" borderId="70" xfId="0" applyFont="1" applyFill="1" applyBorder="1" applyAlignment="1">
      <alignment horizontal="center"/>
    </xf>
    <xf numFmtId="43" fontId="18" fillId="0" borderId="182" xfId="3" applyFont="1" applyFill="1" applyBorder="1" applyAlignment="1">
      <alignment horizontal="center" wrapText="1"/>
    </xf>
    <xf numFmtId="0" fontId="18" fillId="0" borderId="145" xfId="0" applyFont="1" applyFill="1" applyBorder="1" applyAlignment="1">
      <alignment horizontal="center"/>
    </xf>
    <xf numFmtId="0" fontId="14" fillId="0" borderId="145" xfId="0" applyFont="1" applyFill="1" applyBorder="1" applyAlignment="1">
      <alignment horizontal="center"/>
    </xf>
    <xf numFmtId="168" fontId="14" fillId="0" borderId="70" xfId="3" applyNumberFormat="1" applyFont="1" applyFill="1" applyBorder="1"/>
    <xf numFmtId="43" fontId="67" fillId="0" borderId="105" xfId="3" applyFont="1" applyFill="1" applyBorder="1"/>
    <xf numFmtId="2" fontId="68" fillId="0" borderId="105" xfId="0" applyNumberFormat="1" applyFont="1" applyFill="1" applyBorder="1"/>
    <xf numFmtId="0" fontId="14" fillId="0" borderId="0" xfId="0" applyFont="1" applyFill="1"/>
    <xf numFmtId="0" fontId="14" fillId="0" borderId="70" xfId="0" applyFont="1" applyFill="1" applyBorder="1" applyAlignment="1">
      <alignment horizontal="center"/>
    </xf>
    <xf numFmtId="41" fontId="14" fillId="0" borderId="24" xfId="3" applyNumberFormat="1" applyFont="1" applyFill="1" applyBorder="1"/>
    <xf numFmtId="37" fontId="14" fillId="0" borderId="24" xfId="3" applyNumberFormat="1" applyFont="1" applyFill="1" applyBorder="1"/>
    <xf numFmtId="168" fontId="14" fillId="0" borderId="23" xfId="0" applyNumberFormat="1" applyFont="1" applyFill="1" applyBorder="1"/>
    <xf numFmtId="0" fontId="18" fillId="0" borderId="186" xfId="0" applyFont="1" applyFill="1" applyBorder="1" applyAlignment="1">
      <alignment horizontal="center"/>
    </xf>
    <xf numFmtId="0" fontId="18" fillId="0" borderId="187" xfId="0" applyFont="1" applyFill="1" applyBorder="1" applyAlignment="1">
      <alignment horizontal="center"/>
    </xf>
    <xf numFmtId="0" fontId="14" fillId="0" borderId="145" xfId="0" applyFont="1" applyFill="1" applyBorder="1"/>
    <xf numFmtId="0" fontId="18" fillId="0" borderId="103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center" wrapText="1"/>
    </xf>
    <xf numFmtId="0" fontId="18" fillId="0" borderId="104" xfId="0" applyFont="1" applyFill="1" applyBorder="1" applyAlignment="1">
      <alignment horizontal="center" wrapText="1"/>
    </xf>
    <xf numFmtId="0" fontId="66" fillId="0" borderId="0" xfId="0" applyFont="1" applyFill="1"/>
    <xf numFmtId="168" fontId="14" fillId="0" borderId="105" xfId="0" applyNumberFormat="1" applyFont="1" applyFill="1" applyBorder="1"/>
    <xf numFmtId="168" fontId="14" fillId="0" borderId="68" xfId="0" applyNumberFormat="1" applyFont="1" applyFill="1" applyBorder="1"/>
    <xf numFmtId="166" fontId="19" fillId="0" borderId="0" xfId="2" applyNumberFormat="1" applyFont="1" applyFill="1" applyAlignment="1">
      <alignment horizontal="center" wrapText="1"/>
    </xf>
    <xf numFmtId="0" fontId="21" fillId="0" borderId="0" xfId="2" applyFont="1" applyFill="1" applyAlignment="1">
      <alignment horizontal="center"/>
    </xf>
    <xf numFmtId="169" fontId="19" fillId="0" borderId="0" xfId="2" applyNumberFormat="1" applyFont="1" applyFill="1" applyAlignment="1">
      <alignment horizontal="center" wrapText="1"/>
    </xf>
    <xf numFmtId="0" fontId="21" fillId="0" borderId="0" xfId="2" applyFont="1" applyFill="1" applyAlignment="1">
      <alignment wrapText="1"/>
    </xf>
    <xf numFmtId="0" fontId="18" fillId="0" borderId="1" xfId="2" applyFont="1" applyFill="1" applyBorder="1"/>
    <xf numFmtId="0" fontId="18" fillId="0" borderId="3" xfId="2" applyFont="1" applyFill="1" applyBorder="1"/>
    <xf numFmtId="168" fontId="14" fillId="0" borderId="9" xfId="2" applyNumberFormat="1" applyFont="1" applyFill="1" applyBorder="1"/>
    <xf numFmtId="0" fontId="14" fillId="0" borderId="29" xfId="2" applyFont="1" applyFill="1" applyBorder="1" applyAlignment="1">
      <alignment horizontal="left"/>
    </xf>
    <xf numFmtId="0" fontId="23" fillId="0" borderId="0" xfId="2" applyFont="1" applyFill="1" applyAlignment="1">
      <alignment horizontal="center"/>
    </xf>
    <xf numFmtId="0" fontId="24" fillId="0" borderId="0" xfId="2" applyFont="1" applyFill="1" applyAlignment="1">
      <alignment horizontal="center"/>
    </xf>
    <xf numFmtId="0" fontId="25" fillId="0" borderId="0" xfId="2" applyFont="1" applyFill="1" applyAlignment="1">
      <alignment horizontal="center"/>
    </xf>
    <xf numFmtId="0" fontId="26" fillId="0" borderId="0" xfId="2" applyFont="1" applyFill="1" applyAlignment="1">
      <alignment horizontal="center"/>
    </xf>
    <xf numFmtId="168" fontId="14" fillId="0" borderId="18" xfId="2" applyNumberFormat="1" applyFont="1" applyFill="1" applyBorder="1"/>
    <xf numFmtId="0" fontId="14" fillId="0" borderId="20" xfId="2" applyFont="1" applyFill="1" applyBorder="1"/>
    <xf numFmtId="0" fontId="14" fillId="0" borderId="46" xfId="2" applyFont="1" applyFill="1" applyBorder="1"/>
    <xf numFmtId="0" fontId="14" fillId="0" borderId="51" xfId="2" applyFont="1" applyFill="1" applyBorder="1"/>
    <xf numFmtId="168" fontId="23" fillId="0" borderId="45" xfId="3" applyNumberFormat="1" applyFont="1" applyFill="1" applyBorder="1"/>
    <xf numFmtId="168" fontId="29" fillId="0" borderId="51" xfId="3" applyNumberFormat="1" applyFont="1" applyFill="1" applyBorder="1"/>
    <xf numFmtId="170" fontId="18" fillId="0" borderId="58" xfId="5" applyFont="1" applyFill="1" applyBorder="1" applyAlignment="1">
      <alignment horizontal="right"/>
    </xf>
    <xf numFmtId="0" fontId="14" fillId="0" borderId="59" xfId="2" applyFont="1" applyFill="1" applyBorder="1"/>
    <xf numFmtId="0" fontId="32" fillId="0" borderId="59" xfId="2" applyFont="1" applyFill="1" applyBorder="1"/>
    <xf numFmtId="168" fontId="18" fillId="0" borderId="59" xfId="2" applyNumberFormat="1" applyFont="1" applyFill="1" applyBorder="1"/>
    <xf numFmtId="168" fontId="19" fillId="0" borderId="59" xfId="2" applyNumberFormat="1" applyFont="1" applyFill="1" applyBorder="1"/>
    <xf numFmtId="168" fontId="19" fillId="0" borderId="60" xfId="2" applyNumberFormat="1" applyFont="1" applyFill="1" applyBorder="1"/>
    <xf numFmtId="168" fontId="23" fillId="0" borderId="50" xfId="3" applyNumberFormat="1" applyFont="1" applyFill="1" applyBorder="1"/>
    <xf numFmtId="0" fontId="27" fillId="0" borderId="51" xfId="2" applyFont="1" applyFill="1" applyBorder="1"/>
    <xf numFmtId="170" fontId="18" fillId="0" borderId="62" xfId="5" applyFont="1" applyFill="1" applyBorder="1" applyAlignment="1">
      <alignment horizontal="left"/>
    </xf>
    <xf numFmtId="0" fontId="18" fillId="0" borderId="63" xfId="2" applyFont="1" applyFill="1" applyBorder="1" applyAlignment="1">
      <alignment horizontal="center"/>
    </xf>
    <xf numFmtId="170" fontId="18" fillId="0" borderId="63" xfId="5" applyFont="1" applyFill="1" applyBorder="1" applyAlignment="1">
      <alignment horizontal="center" wrapText="1"/>
    </xf>
    <xf numFmtId="0" fontId="14" fillId="0" borderId="12" xfId="2" applyFont="1" applyFill="1" applyBorder="1"/>
    <xf numFmtId="168" fontId="14" fillId="0" borderId="23" xfId="2" applyNumberFormat="1" applyFont="1" applyFill="1" applyBorder="1"/>
    <xf numFmtId="168" fontId="19" fillId="0" borderId="65" xfId="2" applyNumberFormat="1" applyFont="1" applyFill="1" applyBorder="1"/>
    <xf numFmtId="168" fontId="19" fillId="0" borderId="10" xfId="2" applyNumberFormat="1" applyFont="1" applyFill="1" applyBorder="1"/>
    <xf numFmtId="0" fontId="19" fillId="0" borderId="67" xfId="2" applyFont="1" applyFill="1" applyBorder="1"/>
    <xf numFmtId="0" fontId="18" fillId="0" borderId="60" xfId="2" applyFont="1" applyFill="1" applyBorder="1"/>
    <xf numFmtId="0" fontId="14" fillId="0" borderId="16" xfId="2" applyFont="1" applyFill="1" applyBorder="1"/>
    <xf numFmtId="168" fontId="14" fillId="0" borderId="24" xfId="2" applyNumberFormat="1" applyFont="1" applyFill="1" applyBorder="1"/>
    <xf numFmtId="168" fontId="19" fillId="0" borderId="68" xfId="2" applyNumberFormat="1" applyFont="1" applyFill="1" applyBorder="1"/>
    <xf numFmtId="168" fontId="19" fillId="0" borderId="14" xfId="2" applyNumberFormat="1" applyFont="1" applyFill="1" applyBorder="1"/>
    <xf numFmtId="168" fontId="19" fillId="0" borderId="70" xfId="2" applyNumberFormat="1" applyFont="1" applyFill="1" applyBorder="1"/>
    <xf numFmtId="0" fontId="19" fillId="0" borderId="71" xfId="2" applyFont="1" applyFill="1" applyBorder="1"/>
    <xf numFmtId="0" fontId="18" fillId="0" borderId="50" xfId="2" applyFont="1" applyFill="1" applyBorder="1" applyAlignment="1">
      <alignment horizontal="right"/>
    </xf>
    <xf numFmtId="0" fontId="14" fillId="0" borderId="50" xfId="2" applyFont="1" applyFill="1" applyBorder="1"/>
    <xf numFmtId="168" fontId="19" fillId="0" borderId="72" xfId="3" applyNumberFormat="1" applyFont="1" applyFill="1" applyBorder="1"/>
    <xf numFmtId="0" fontId="19" fillId="0" borderId="73" xfId="2" applyFont="1" applyFill="1" applyBorder="1"/>
    <xf numFmtId="0" fontId="14" fillId="0" borderId="74" xfId="2" applyFont="1" applyFill="1" applyBorder="1"/>
    <xf numFmtId="0" fontId="14" fillId="0" borderId="75" xfId="2" applyFont="1" applyFill="1" applyBorder="1"/>
    <xf numFmtId="168" fontId="14" fillId="0" borderId="75" xfId="2" applyNumberFormat="1" applyFont="1" applyFill="1" applyBorder="1"/>
    <xf numFmtId="168" fontId="14" fillId="0" borderId="76" xfId="2" applyNumberFormat="1" applyFont="1" applyFill="1" applyBorder="1"/>
    <xf numFmtId="168" fontId="33" fillId="0" borderId="0" xfId="2" applyNumberFormat="1" applyFont="1" applyFill="1"/>
    <xf numFmtId="0" fontId="33" fillId="0" borderId="0" xfId="2" applyFont="1" applyFill="1"/>
    <xf numFmtId="168" fontId="33" fillId="0" borderId="77" xfId="2" applyNumberFormat="1" applyFont="1" applyFill="1" applyBorder="1"/>
    <xf numFmtId="0" fontId="33" fillId="0" borderId="78" xfId="2" applyFont="1" applyFill="1" applyBorder="1"/>
    <xf numFmtId="168" fontId="33" fillId="0" borderId="79" xfId="2" applyNumberFormat="1" applyFont="1" applyFill="1" applyBorder="1"/>
    <xf numFmtId="0" fontId="33" fillId="0" borderId="80" xfId="2" applyFont="1" applyFill="1" applyBorder="1"/>
    <xf numFmtId="0" fontId="14" fillId="0" borderId="24" xfId="2" applyFont="1" applyFill="1" applyBorder="1"/>
    <xf numFmtId="168" fontId="33" fillId="0" borderId="81" xfId="2" applyNumberFormat="1" applyFont="1" applyFill="1" applyBorder="1"/>
    <xf numFmtId="0" fontId="33" fillId="0" borderId="82" xfId="2" applyFont="1" applyFill="1" applyBorder="1"/>
    <xf numFmtId="0" fontId="14" fillId="0" borderId="48" xfId="2" applyFont="1" applyFill="1" applyBorder="1"/>
    <xf numFmtId="0" fontId="14" fillId="0" borderId="47" xfId="2" applyFont="1" applyFill="1" applyBorder="1"/>
    <xf numFmtId="168" fontId="19" fillId="0" borderId="37" xfId="2" applyNumberFormat="1" applyFont="1" applyFill="1" applyBorder="1"/>
    <xf numFmtId="0" fontId="13" fillId="0" borderId="0" xfId="2" applyFont="1" applyFill="1" applyAlignment="1">
      <alignment wrapText="1"/>
    </xf>
    <xf numFmtId="168" fontId="23" fillId="0" borderId="35" xfId="3" applyNumberFormat="1" applyFont="1" applyFill="1" applyBorder="1" applyAlignment="1">
      <alignment horizontal="right"/>
    </xf>
    <xf numFmtId="168" fontId="18" fillId="0" borderId="85" xfId="3" applyNumberFormat="1" applyFont="1" applyFill="1" applyBorder="1" applyAlignment="1">
      <alignment wrapText="1"/>
    </xf>
    <xf numFmtId="0" fontId="34" fillId="0" borderId="0" xfId="2" applyFont="1" applyFill="1"/>
    <xf numFmtId="168" fontId="13" fillId="0" borderId="0" xfId="2" applyNumberFormat="1" applyFill="1"/>
    <xf numFmtId="3" fontId="13" fillId="0" borderId="0" xfId="2" applyNumberFormat="1" applyFont="1" applyFill="1"/>
    <xf numFmtId="0" fontId="27" fillId="0" borderId="0" xfId="2" applyFont="1" applyFill="1" applyAlignment="1">
      <alignment horizontal="center"/>
    </xf>
    <xf numFmtId="0" fontId="27" fillId="0" borderId="0" xfId="2" applyFont="1" applyFill="1"/>
    <xf numFmtId="0" fontId="36" fillId="0" borderId="0" xfId="2" applyFont="1" applyFill="1"/>
    <xf numFmtId="168" fontId="19" fillId="0" borderId="0" xfId="2" applyNumberFormat="1" applyFont="1" applyFill="1"/>
    <xf numFmtId="0" fontId="18" fillId="0" borderId="86" xfId="2" applyFont="1" applyFill="1" applyBorder="1"/>
    <xf numFmtId="0" fontId="18" fillId="0" borderId="87" xfId="2" applyFont="1" applyFill="1" applyBorder="1" applyAlignment="1">
      <alignment horizontal="center"/>
    </xf>
    <xf numFmtId="0" fontId="19" fillId="0" borderId="87" xfId="2" applyFont="1" applyFill="1" applyBorder="1" applyAlignment="1">
      <alignment horizontal="center"/>
    </xf>
    <xf numFmtId="0" fontId="19" fillId="0" borderId="88" xfId="2" applyFont="1" applyFill="1" applyBorder="1" applyAlignment="1">
      <alignment horizontal="center"/>
    </xf>
    <xf numFmtId="0" fontId="37" fillId="0" borderId="0" xfId="2" applyFont="1" applyFill="1" applyAlignment="1">
      <alignment horizontal="center"/>
    </xf>
    <xf numFmtId="0" fontId="23" fillId="0" borderId="12" xfId="2" applyFont="1" applyFill="1" applyBorder="1" applyAlignment="1">
      <alignment horizontal="right"/>
    </xf>
    <xf numFmtId="0" fontId="27" fillId="0" borderId="23" xfId="2" applyFont="1" applyFill="1" applyBorder="1"/>
    <xf numFmtId="168" fontId="27" fillId="0" borderId="23" xfId="2" applyNumberFormat="1" applyFont="1" applyFill="1" applyBorder="1"/>
    <xf numFmtId="168" fontId="19" fillId="0" borderId="23" xfId="2" applyNumberFormat="1" applyFont="1" applyFill="1" applyBorder="1"/>
    <xf numFmtId="168" fontId="19" fillId="0" borderId="89" xfId="2" applyNumberFormat="1" applyFont="1" applyFill="1" applyBorder="1"/>
    <xf numFmtId="168" fontId="37" fillId="0" borderId="0" xfId="3" applyNumberFormat="1" applyFont="1" applyFill="1"/>
    <xf numFmtId="0" fontId="37" fillId="0" borderId="0" xfId="2" applyFont="1" applyFill="1"/>
    <xf numFmtId="0" fontId="23" fillId="0" borderId="16" xfId="2" applyFont="1" applyFill="1" applyBorder="1" applyAlignment="1">
      <alignment horizontal="right"/>
    </xf>
    <xf numFmtId="0" fontId="27" fillId="0" borderId="24" xfId="2" applyFont="1" applyFill="1" applyBorder="1"/>
    <xf numFmtId="168" fontId="27" fillId="0" borderId="24" xfId="2" applyNumberFormat="1" applyFont="1" applyFill="1" applyBorder="1"/>
    <xf numFmtId="168" fontId="19" fillId="0" borderId="24" xfId="2" applyNumberFormat="1" applyFont="1" applyFill="1" applyBorder="1"/>
    <xf numFmtId="168" fontId="19" fillId="0" borderId="69" xfId="2" applyNumberFormat="1" applyFont="1" applyFill="1" applyBorder="1"/>
    <xf numFmtId="0" fontId="23" fillId="0" borderId="35" xfId="2" applyFont="1" applyFill="1" applyBorder="1" applyAlignment="1">
      <alignment horizontal="right"/>
    </xf>
    <xf numFmtId="0" fontId="27" fillId="0" borderId="36" xfId="2" applyFont="1" applyFill="1" applyBorder="1"/>
    <xf numFmtId="168" fontId="27" fillId="0" borderId="36" xfId="2" applyNumberFormat="1" applyFont="1" applyFill="1" applyBorder="1"/>
    <xf numFmtId="168" fontId="19" fillId="0" borderId="90" xfId="2" applyNumberFormat="1" applyFont="1" applyFill="1" applyBorder="1"/>
    <xf numFmtId="168" fontId="19" fillId="0" borderId="36" xfId="2" applyNumberFormat="1" applyFont="1" applyFill="1" applyBorder="1"/>
    <xf numFmtId="168" fontId="19" fillId="0" borderId="41" xfId="2" applyNumberFormat="1" applyFont="1" applyFill="1" applyBorder="1"/>
    <xf numFmtId="168" fontId="19" fillId="0" borderId="91" xfId="2" applyNumberFormat="1" applyFont="1" applyFill="1" applyBorder="1"/>
    <xf numFmtId="0" fontId="24" fillId="0" borderId="30" xfId="2" applyFont="1" applyFill="1" applyBorder="1" applyAlignment="1">
      <alignment horizontal="right"/>
    </xf>
    <xf numFmtId="0" fontId="37" fillId="0" borderId="31" xfId="2" applyFont="1" applyFill="1" applyBorder="1"/>
    <xf numFmtId="0" fontId="24" fillId="0" borderId="16" xfId="2" applyFont="1" applyFill="1" applyBorder="1" applyAlignment="1">
      <alignment horizontal="right"/>
    </xf>
    <xf numFmtId="0" fontId="37" fillId="0" borderId="24" xfId="2" applyFont="1" applyFill="1" applyBorder="1"/>
    <xf numFmtId="0" fontId="24" fillId="0" borderId="24" xfId="2" applyFont="1" applyFill="1" applyBorder="1"/>
    <xf numFmtId="0" fontId="38" fillId="0" borderId="0" xfId="2" applyFont="1" applyFill="1" applyAlignment="1">
      <alignment horizontal="center"/>
    </xf>
    <xf numFmtId="0" fontId="38" fillId="0" borderId="0" xfId="2" applyFont="1" applyFill="1"/>
    <xf numFmtId="0" fontId="37" fillId="0" borderId="23" xfId="2" applyFont="1" applyFill="1" applyBorder="1"/>
    <xf numFmtId="0" fontId="24" fillId="0" borderId="23" xfId="2" applyFont="1" applyFill="1" applyBorder="1"/>
    <xf numFmtId="0" fontId="39" fillId="0" borderId="30" xfId="2" applyFont="1" applyFill="1" applyBorder="1" applyAlignment="1">
      <alignment horizontal="right"/>
    </xf>
    <xf numFmtId="0" fontId="38" fillId="0" borderId="31" xfId="2" applyFont="1" applyFill="1" applyBorder="1"/>
    <xf numFmtId="168" fontId="38" fillId="0" borderId="31" xfId="2" applyNumberFormat="1" applyFont="1" applyFill="1" applyBorder="1"/>
    <xf numFmtId="168" fontId="39" fillId="0" borderId="92" xfId="3" applyNumberFormat="1" applyFont="1" applyFill="1" applyBorder="1"/>
    <xf numFmtId="168" fontId="39" fillId="0" borderId="31" xfId="3" applyNumberFormat="1" applyFont="1" applyFill="1" applyBorder="1"/>
    <xf numFmtId="168" fontId="39" fillId="0" borderId="32" xfId="3" applyNumberFormat="1" applyFont="1" applyFill="1" applyBorder="1"/>
    <xf numFmtId="168" fontId="39" fillId="0" borderId="89" xfId="3" applyNumberFormat="1" applyFont="1" applyFill="1" applyBorder="1"/>
    <xf numFmtId="0" fontId="39" fillId="0" borderId="16" xfId="2" applyFont="1" applyFill="1" applyBorder="1" applyAlignment="1">
      <alignment horizontal="right"/>
    </xf>
    <xf numFmtId="0" fontId="38" fillId="0" borderId="24" xfId="2" applyFont="1" applyFill="1" applyBorder="1"/>
    <xf numFmtId="168" fontId="38" fillId="0" borderId="24" xfId="2" applyNumberFormat="1" applyFont="1" applyFill="1" applyBorder="1"/>
    <xf numFmtId="168" fontId="39" fillId="0" borderId="68" xfId="3" applyNumberFormat="1" applyFont="1" applyFill="1" applyBorder="1"/>
    <xf numFmtId="168" fontId="39" fillId="0" borderId="24" xfId="3" applyNumberFormat="1" applyFont="1" applyFill="1" applyBorder="1"/>
    <xf numFmtId="168" fontId="39" fillId="0" borderId="14" xfId="3" applyNumberFormat="1" applyFont="1" applyFill="1" applyBorder="1"/>
    <xf numFmtId="168" fontId="39" fillId="0" borderId="69" xfId="3" applyNumberFormat="1" applyFont="1" applyFill="1" applyBorder="1"/>
    <xf numFmtId="0" fontId="40" fillId="0" borderId="0" xfId="2" applyFont="1" applyFill="1" applyAlignment="1">
      <alignment horizontal="center"/>
    </xf>
    <xf numFmtId="168" fontId="40" fillId="0" borderId="0" xfId="3" applyNumberFormat="1" applyFont="1" applyFill="1"/>
    <xf numFmtId="0" fontId="41" fillId="0" borderId="0" xfId="2" applyFont="1" applyFill="1"/>
    <xf numFmtId="0" fontId="40" fillId="0" borderId="0" xfId="2" applyFont="1" applyFill="1"/>
    <xf numFmtId="0" fontId="39" fillId="0" borderId="35" xfId="2" applyFont="1" applyFill="1" applyBorder="1" applyAlignment="1">
      <alignment horizontal="right"/>
    </xf>
    <xf numFmtId="0" fontId="38" fillId="0" borderId="36" xfId="2" applyFont="1" applyFill="1" applyBorder="1"/>
    <xf numFmtId="168" fontId="38" fillId="0" borderId="36" xfId="2" applyNumberFormat="1" applyFont="1" applyFill="1" applyBorder="1"/>
    <xf numFmtId="168" fontId="39" fillId="0" borderId="37" xfId="3" applyNumberFormat="1" applyFont="1" applyFill="1" applyBorder="1"/>
    <xf numFmtId="168" fontId="39" fillId="0" borderId="91" xfId="3" applyNumberFormat="1" applyFont="1" applyFill="1" applyBorder="1"/>
    <xf numFmtId="0" fontId="25" fillId="0" borderId="30" xfId="2" applyFont="1" applyFill="1" applyBorder="1" applyAlignment="1">
      <alignment horizontal="right"/>
    </xf>
    <xf numFmtId="0" fontId="41" fillId="0" borderId="31" xfId="2" applyFont="1" applyFill="1" applyBorder="1"/>
    <xf numFmtId="0" fontId="14" fillId="0" borderId="0" xfId="2" applyFont="1" applyFill="1" applyAlignment="1">
      <alignment horizontal="center"/>
    </xf>
    <xf numFmtId="0" fontId="25" fillId="0" borderId="93" xfId="2" applyFont="1" applyFill="1" applyBorder="1" applyAlignment="1">
      <alignment horizontal="right"/>
    </xf>
    <xf numFmtId="0" fontId="40" fillId="0" borderId="24" xfId="2" applyFont="1" applyFill="1" applyBorder="1"/>
    <xf numFmtId="0" fontId="25" fillId="0" borderId="24" xfId="2" applyFont="1" applyFill="1" applyBorder="1"/>
    <xf numFmtId="0" fontId="18" fillId="0" borderId="24" xfId="2" applyFont="1" applyFill="1" applyBorder="1"/>
    <xf numFmtId="168" fontId="23" fillId="0" borderId="24" xfId="2" applyNumberFormat="1" applyFont="1" applyFill="1" applyBorder="1"/>
    <xf numFmtId="0" fontId="25" fillId="0" borderId="94" xfId="2" applyFont="1" applyFill="1" applyBorder="1" applyAlignment="1">
      <alignment horizontal="right"/>
    </xf>
    <xf numFmtId="0" fontId="14" fillId="0" borderId="36" xfId="2" applyFont="1" applyFill="1" applyBorder="1"/>
    <xf numFmtId="0" fontId="18" fillId="0" borderId="36" xfId="2" applyFont="1" applyFill="1" applyBorder="1"/>
    <xf numFmtId="168" fontId="23" fillId="0" borderId="36" xfId="2" applyNumberFormat="1" applyFont="1" applyFill="1" applyBorder="1"/>
    <xf numFmtId="0" fontId="42" fillId="0" borderId="95" xfId="2" applyFont="1" applyFill="1" applyBorder="1" applyAlignment="1">
      <alignment horizontal="right"/>
    </xf>
    <xf numFmtId="0" fontId="42" fillId="0" borderId="31" xfId="2" applyFont="1" applyFill="1" applyBorder="1" applyAlignment="1">
      <alignment horizontal="right"/>
    </xf>
    <xf numFmtId="168" fontId="42" fillId="0" borderId="31" xfId="2" applyNumberFormat="1" applyFont="1" applyFill="1" applyBorder="1" applyAlignment="1">
      <alignment horizontal="right"/>
    </xf>
    <xf numFmtId="168" fontId="42" fillId="0" borderId="92" xfId="2" applyNumberFormat="1" applyFont="1" applyFill="1" applyBorder="1" applyAlignment="1">
      <alignment horizontal="right"/>
    </xf>
    <xf numFmtId="168" fontId="42" fillId="0" borderId="32" xfId="2" applyNumberFormat="1" applyFont="1" applyFill="1" applyBorder="1" applyAlignment="1">
      <alignment horizontal="right"/>
    </xf>
    <xf numFmtId="168" fontId="42" fillId="0" borderId="89" xfId="2" applyNumberFormat="1" applyFont="1" applyFill="1" applyBorder="1" applyAlignment="1">
      <alignment horizontal="right"/>
    </xf>
    <xf numFmtId="0" fontId="42" fillId="0" borderId="93" xfId="2" applyFont="1" applyFill="1" applyBorder="1" applyAlignment="1">
      <alignment horizontal="right"/>
    </xf>
    <xf numFmtId="0" fontId="42" fillId="0" borderId="24" xfId="2" applyFont="1" applyFill="1" applyBorder="1" applyAlignment="1">
      <alignment horizontal="right"/>
    </xf>
    <xf numFmtId="168" fontId="42" fillId="0" borderId="24" xfId="2" applyNumberFormat="1" applyFont="1" applyFill="1" applyBorder="1" applyAlignment="1">
      <alignment horizontal="right"/>
    </xf>
    <xf numFmtId="168" fontId="42" fillId="0" borderId="68" xfId="2" applyNumberFormat="1" applyFont="1" applyFill="1" applyBorder="1" applyAlignment="1">
      <alignment horizontal="right"/>
    </xf>
    <xf numFmtId="168" fontId="42" fillId="0" borderId="14" xfId="2" applyNumberFormat="1" applyFont="1" applyFill="1" applyBorder="1" applyAlignment="1">
      <alignment horizontal="right"/>
    </xf>
    <xf numFmtId="168" fontId="42" fillId="0" borderId="69" xfId="2" applyNumberFormat="1" applyFont="1" applyFill="1" applyBorder="1" applyAlignment="1">
      <alignment horizontal="right"/>
    </xf>
    <xf numFmtId="0" fontId="14" fillId="0" borderId="23" xfId="2" applyFont="1" applyFill="1" applyBorder="1"/>
    <xf numFmtId="0" fontId="18" fillId="0" borderId="23" xfId="2" applyFont="1" applyFill="1" applyBorder="1"/>
    <xf numFmtId="168" fontId="42" fillId="0" borderId="23" xfId="2" applyNumberFormat="1" applyFont="1" applyFill="1" applyBorder="1" applyAlignment="1">
      <alignment horizontal="right"/>
    </xf>
    <xf numFmtId="168" fontId="42" fillId="0" borderId="13" xfId="2" applyNumberFormat="1" applyFont="1" applyFill="1" applyBorder="1" applyAlignment="1">
      <alignment horizontal="right"/>
    </xf>
    <xf numFmtId="168" fontId="42" fillId="0" borderId="65" xfId="2" applyNumberFormat="1" applyFont="1" applyFill="1" applyBorder="1" applyAlignment="1">
      <alignment horizontal="right"/>
    </xf>
    <xf numFmtId="168" fontId="42" fillId="0" borderId="84" xfId="2" applyNumberFormat="1" applyFont="1" applyFill="1" applyBorder="1" applyAlignment="1">
      <alignment horizontal="right"/>
    </xf>
    <xf numFmtId="0" fontId="43" fillId="0" borderId="30" xfId="2" applyFont="1" applyFill="1" applyBorder="1" applyAlignment="1">
      <alignment horizontal="right"/>
    </xf>
    <xf numFmtId="0" fontId="18" fillId="0" borderId="31" xfId="2" applyFont="1" applyFill="1" applyBorder="1"/>
    <xf numFmtId="168" fontId="43" fillId="0" borderId="96" xfId="3" applyNumberFormat="1" applyFont="1" applyFill="1" applyBorder="1" applyAlignment="1">
      <alignment horizontal="right"/>
    </xf>
    <xf numFmtId="168" fontId="43" fillId="0" borderId="31" xfId="3" applyNumberFormat="1" applyFont="1" applyFill="1" applyBorder="1" applyAlignment="1">
      <alignment horizontal="right"/>
    </xf>
    <xf numFmtId="168" fontId="43" fillId="0" borderId="2" xfId="3" applyNumberFormat="1" applyFont="1" applyFill="1" applyBorder="1" applyAlignment="1">
      <alignment horizontal="right"/>
    </xf>
    <xf numFmtId="168" fontId="43" fillId="0" borderId="97" xfId="3" applyNumberFormat="1" applyFont="1" applyFill="1" applyBorder="1" applyAlignment="1">
      <alignment horizontal="right"/>
    </xf>
    <xf numFmtId="0" fontId="43" fillId="0" borderId="93" xfId="2" applyFont="1" applyFill="1" applyBorder="1" applyAlignment="1">
      <alignment horizontal="right"/>
    </xf>
    <xf numFmtId="168" fontId="43" fillId="0" borderId="24" xfId="3" applyNumberFormat="1" applyFont="1" applyFill="1" applyBorder="1" applyAlignment="1">
      <alignment horizontal="right"/>
    </xf>
    <xf numFmtId="168" fontId="43" fillId="0" borderId="98" xfId="3" applyNumberFormat="1" applyFont="1" applyFill="1" applyBorder="1" applyAlignment="1">
      <alignment horizontal="right"/>
    </xf>
    <xf numFmtId="168" fontId="43" fillId="0" borderId="69" xfId="3" applyNumberFormat="1" applyFont="1" applyFill="1" applyBorder="1" applyAlignment="1">
      <alignment horizontal="right"/>
    </xf>
    <xf numFmtId="0" fontId="45" fillId="0" borderId="0" xfId="2" applyFont="1" applyFill="1"/>
    <xf numFmtId="0" fontId="46" fillId="0" borderId="0" xfId="2" applyFont="1" applyFill="1"/>
    <xf numFmtId="168" fontId="43" fillId="0" borderId="68" xfId="3" applyNumberFormat="1" applyFont="1" applyFill="1" applyBorder="1" applyAlignment="1">
      <alignment horizontal="right"/>
    </xf>
    <xf numFmtId="168" fontId="43" fillId="0" borderId="91" xfId="3" applyNumberFormat="1" applyFont="1" applyFill="1" applyBorder="1" applyAlignment="1">
      <alignment horizontal="right"/>
    </xf>
    <xf numFmtId="0" fontId="47" fillId="0" borderId="0" xfId="2" applyFont="1" applyFill="1"/>
    <xf numFmtId="0" fontId="43" fillId="0" borderId="99" xfId="2" applyFont="1" applyFill="1" applyBorder="1" applyAlignment="1">
      <alignment horizontal="right"/>
    </xf>
    <xf numFmtId="0" fontId="14" fillId="0" borderId="120" xfId="2" applyFont="1" applyFill="1" applyBorder="1"/>
    <xf numFmtId="0" fontId="18" fillId="0" borderId="120" xfId="2" applyFont="1" applyFill="1" applyBorder="1"/>
    <xf numFmtId="168" fontId="43" fillId="0" borderId="132" xfId="3" applyNumberFormat="1" applyFont="1" applyFill="1" applyBorder="1" applyAlignment="1">
      <alignment horizontal="right"/>
    </xf>
    <xf numFmtId="168" fontId="43" fillId="0" borderId="120" xfId="3" applyNumberFormat="1" applyFont="1" applyFill="1" applyBorder="1" applyAlignment="1">
      <alignment horizontal="right"/>
    </xf>
    <xf numFmtId="168" fontId="43" fillId="0" borderId="0" xfId="3" applyNumberFormat="1" applyFont="1" applyFill="1" applyBorder="1" applyAlignment="1">
      <alignment horizontal="right"/>
    </xf>
    <xf numFmtId="168" fontId="43" fillId="0" borderId="84" xfId="3" applyNumberFormat="1" applyFont="1" applyFill="1" applyBorder="1" applyAlignment="1">
      <alignment horizontal="right"/>
    </xf>
    <xf numFmtId="0" fontId="43" fillId="0" borderId="94" xfId="2" applyFont="1" applyFill="1" applyBorder="1" applyAlignment="1">
      <alignment horizontal="right"/>
    </xf>
    <xf numFmtId="0" fontId="43" fillId="0" borderId="18" xfId="2" applyFont="1" applyFill="1" applyBorder="1" applyAlignment="1">
      <alignment horizontal="right"/>
    </xf>
    <xf numFmtId="0" fontId="14" fillId="0" borderId="25" xfId="2" applyFont="1" applyFill="1" applyBorder="1"/>
    <xf numFmtId="0" fontId="18" fillId="0" borderId="25" xfId="2" applyFont="1" applyFill="1" applyBorder="1"/>
    <xf numFmtId="168" fontId="43" fillId="0" borderId="39" xfId="3" applyNumberFormat="1" applyFont="1" applyFill="1" applyBorder="1" applyAlignment="1">
      <alignment horizontal="right"/>
    </xf>
    <xf numFmtId="168" fontId="43" fillId="0" borderId="25" xfId="3" applyNumberFormat="1" applyFont="1" applyFill="1" applyBorder="1" applyAlignment="1">
      <alignment horizontal="right"/>
    </xf>
    <xf numFmtId="168" fontId="43" fillId="0" borderId="19" xfId="3" applyNumberFormat="1" applyFont="1" applyFill="1" applyBorder="1" applyAlignment="1">
      <alignment horizontal="right"/>
    </xf>
    <xf numFmtId="168" fontId="43" fillId="0" borderId="140" xfId="3" applyNumberFormat="1" applyFont="1" applyFill="1" applyBorder="1" applyAlignment="1">
      <alignment horizontal="right"/>
    </xf>
    <xf numFmtId="168" fontId="18" fillId="0" borderId="99" xfId="3" applyNumberFormat="1" applyFont="1" applyFill="1" applyBorder="1" applyAlignment="1">
      <alignment horizontal="right"/>
    </xf>
    <xf numFmtId="168" fontId="18" fillId="0" borderId="23" xfId="3" applyNumberFormat="1" applyFont="1" applyFill="1" applyBorder="1"/>
    <xf numFmtId="168" fontId="18" fillId="0" borderId="64" xfId="3" applyNumberFormat="1" applyFont="1" applyFill="1" applyBorder="1" applyAlignment="1">
      <alignment wrapText="1"/>
    </xf>
    <xf numFmtId="170" fontId="44" fillId="0" borderId="37" xfId="5" applyFont="1" applyFill="1" applyBorder="1"/>
    <xf numFmtId="0" fontId="14" fillId="0" borderId="37" xfId="2" applyFont="1" applyFill="1" applyBorder="1"/>
    <xf numFmtId="168" fontId="14" fillId="0" borderId="37" xfId="2" applyNumberFormat="1" applyFont="1" applyFill="1" applyBorder="1"/>
    <xf numFmtId="168" fontId="18" fillId="0" borderId="37" xfId="2" applyNumberFormat="1" applyFont="1" applyFill="1" applyBorder="1"/>
    <xf numFmtId="170" fontId="19" fillId="0" borderId="0" xfId="5" applyFont="1" applyFill="1"/>
    <xf numFmtId="0" fontId="46" fillId="0" borderId="100" xfId="2" applyFont="1" applyFill="1" applyBorder="1"/>
    <xf numFmtId="0" fontId="45" fillId="0" borderId="101" xfId="2" applyFont="1" applyFill="1" applyBorder="1"/>
    <xf numFmtId="0" fontId="46" fillId="0" borderId="101" xfId="2" applyFont="1" applyFill="1" applyBorder="1"/>
    <xf numFmtId="170" fontId="46" fillId="0" borderId="101" xfId="5" applyFont="1" applyFill="1" applyBorder="1"/>
    <xf numFmtId="0" fontId="46" fillId="0" borderId="103" xfId="2" applyFont="1" applyFill="1" applyBorder="1" applyAlignment="1">
      <alignment horizontal="center"/>
    </xf>
    <xf numFmtId="0" fontId="46" fillId="0" borderId="23" xfId="2" applyFont="1" applyFill="1" applyBorder="1" applyAlignment="1">
      <alignment horizontal="center"/>
    </xf>
    <xf numFmtId="167" fontId="46" fillId="0" borderId="105" xfId="3" applyNumberFormat="1" applyFont="1" applyFill="1" applyBorder="1" applyAlignment="1">
      <alignment horizontal="center"/>
    </xf>
    <xf numFmtId="167" fontId="46" fillId="0" borderId="24" xfId="3" applyNumberFormat="1" applyFont="1" applyFill="1" applyBorder="1" applyAlignment="1">
      <alignment horizontal="center"/>
    </xf>
    <xf numFmtId="168" fontId="46" fillId="0" borderId="24" xfId="3" applyNumberFormat="1" applyFont="1" applyFill="1" applyBorder="1" applyAlignment="1">
      <alignment horizontal="center"/>
    </xf>
    <xf numFmtId="0" fontId="45" fillId="0" borderId="105" xfId="2" applyFont="1" applyFill="1" applyBorder="1"/>
    <xf numFmtId="0" fontId="45" fillId="0" borderId="24" xfId="2" applyFont="1" applyFill="1" applyBorder="1"/>
    <xf numFmtId="0" fontId="46" fillId="0" borderId="24" xfId="2" applyFont="1" applyFill="1" applyBorder="1"/>
    <xf numFmtId="0" fontId="46" fillId="0" borderId="68" xfId="2" applyFont="1" applyFill="1" applyBorder="1"/>
    <xf numFmtId="0" fontId="45" fillId="0" borderId="107" xfId="2" applyFont="1" applyFill="1" applyBorder="1"/>
    <xf numFmtId="0" fontId="45" fillId="0" borderId="48" xfId="2" applyFont="1" applyFill="1" applyBorder="1"/>
    <xf numFmtId="0" fontId="46" fillId="0" borderId="48" xfId="2" applyFont="1" applyFill="1" applyBorder="1"/>
    <xf numFmtId="0" fontId="46" fillId="0" borderId="108" xfId="2" applyFont="1" applyFill="1" applyBorder="1"/>
    <xf numFmtId="0" fontId="45" fillId="0" borderId="110" xfId="2" applyFont="1" applyFill="1" applyBorder="1"/>
    <xf numFmtId="0" fontId="45" fillId="0" borderId="111" xfId="2" applyFont="1" applyFill="1" applyBorder="1"/>
    <xf numFmtId="0" fontId="46" fillId="0" borderId="111" xfId="2" applyFont="1" applyFill="1" applyBorder="1"/>
    <xf numFmtId="0" fontId="48" fillId="0" borderId="112" xfId="2" applyFont="1" applyFill="1" applyBorder="1" applyAlignment="1">
      <alignment horizontal="right"/>
    </xf>
    <xf numFmtId="0" fontId="48" fillId="0" borderId="113" xfId="2" applyFont="1" applyFill="1" applyBorder="1" applyAlignment="1">
      <alignment horizontal="right"/>
    </xf>
    <xf numFmtId="167" fontId="46" fillId="0" borderId="114" xfId="3" applyNumberFormat="1" applyFont="1" applyFill="1" applyBorder="1"/>
    <xf numFmtId="166" fontId="23" fillId="0" borderId="0" xfId="2" applyNumberFormat="1" applyFont="1" applyFill="1" applyAlignment="1">
      <alignment horizontal="center" wrapText="1"/>
    </xf>
    <xf numFmtId="170" fontId="18" fillId="0" borderId="125" xfId="5" applyFont="1" applyFill="1" applyBorder="1" applyAlignment="1">
      <alignment horizontal="right"/>
    </xf>
    <xf numFmtId="170" fontId="14" fillId="0" borderId="126" xfId="5" applyFont="1" applyFill="1" applyBorder="1"/>
    <xf numFmtId="0" fontId="18" fillId="0" borderId="128" xfId="2" applyFont="1" applyFill="1" applyBorder="1" applyAlignment="1">
      <alignment horizontal="center"/>
    </xf>
    <xf numFmtId="0" fontId="18" fillId="0" borderId="129" xfId="2" applyFont="1" applyFill="1" applyBorder="1" applyAlignment="1">
      <alignment horizontal="center"/>
    </xf>
    <xf numFmtId="170" fontId="18" fillId="0" borderId="129" xfId="5" applyFont="1" applyFill="1" applyBorder="1" applyAlignment="1">
      <alignment horizontal="center"/>
    </xf>
    <xf numFmtId="170" fontId="14" fillId="0" borderId="130" xfId="5" applyFont="1" applyFill="1" applyBorder="1" applyAlignment="1">
      <alignment horizontal="center" wrapText="1"/>
    </xf>
    <xf numFmtId="170" fontId="14" fillId="0" borderId="73" xfId="5" applyFont="1" applyFill="1" applyBorder="1" applyAlignment="1">
      <alignment horizontal="center" wrapText="1"/>
    </xf>
    <xf numFmtId="170" fontId="18" fillId="0" borderId="0" xfId="5" applyFont="1" applyFill="1" applyAlignment="1">
      <alignment horizontal="center"/>
    </xf>
    <xf numFmtId="170" fontId="14" fillId="0" borderId="50" xfId="5" applyFont="1" applyFill="1" applyBorder="1"/>
    <xf numFmtId="0" fontId="13" fillId="0" borderId="74" xfId="2" applyFill="1" applyBorder="1"/>
    <xf numFmtId="0" fontId="13" fillId="0" borderId="75" xfId="2" applyFill="1" applyBorder="1"/>
    <xf numFmtId="170" fontId="14" fillId="0" borderId="75" xfId="5" applyFont="1" applyFill="1" applyBorder="1"/>
    <xf numFmtId="170" fontId="18" fillId="0" borderId="76" xfId="5" applyFont="1" applyFill="1" applyBorder="1"/>
    <xf numFmtId="170" fontId="14" fillId="0" borderId="48" xfId="5" applyFont="1" applyFill="1" applyBorder="1"/>
    <xf numFmtId="170" fontId="14" fillId="0" borderId="0" xfId="5" applyFont="1" applyFill="1" applyAlignment="1">
      <alignment horizontal="right"/>
    </xf>
    <xf numFmtId="168" fontId="18" fillId="0" borderId="35" xfId="3" applyNumberFormat="1" applyFont="1" applyFill="1" applyBorder="1" applyAlignment="1">
      <alignment horizontal="right"/>
    </xf>
    <xf numFmtId="168" fontId="23" fillId="0" borderId="90" xfId="3" applyNumberFormat="1" applyFont="1" applyFill="1" applyBorder="1"/>
    <xf numFmtId="168" fontId="18" fillId="0" borderId="85" xfId="3" applyNumberFormat="1" applyFont="1" applyFill="1" applyBorder="1"/>
    <xf numFmtId="168" fontId="0" fillId="0" borderId="0" xfId="3" applyNumberFormat="1" applyFont="1" applyFill="1"/>
    <xf numFmtId="170" fontId="52" fillId="0" borderId="2" xfId="5" applyFont="1" applyFill="1" applyBorder="1"/>
    <xf numFmtId="168" fontId="52" fillId="0" borderId="2" xfId="3" applyNumberFormat="1" applyFont="1" applyFill="1" applyBorder="1"/>
    <xf numFmtId="168" fontId="14" fillId="0" borderId="2" xfId="3" applyNumberFormat="1" applyFont="1" applyFill="1" applyBorder="1"/>
    <xf numFmtId="168" fontId="18" fillId="0" borderId="2" xfId="3" applyNumberFormat="1" applyFont="1" applyFill="1" applyBorder="1"/>
    <xf numFmtId="168" fontId="52" fillId="0" borderId="0" xfId="3" applyNumberFormat="1" applyFont="1" applyFill="1" applyBorder="1"/>
    <xf numFmtId="170" fontId="52" fillId="0" borderId="0" xfId="5" applyFont="1" applyFill="1" applyAlignment="1">
      <alignment horizontal="right"/>
    </xf>
    <xf numFmtId="170" fontId="52" fillId="0" borderId="0" xfId="5" applyFont="1" applyFill="1"/>
    <xf numFmtId="170" fontId="52" fillId="0" borderId="9" xfId="5" applyFont="1" applyFill="1" applyBorder="1"/>
    <xf numFmtId="0" fontId="18" fillId="0" borderId="0" xfId="2" applyFont="1" applyFill="1" applyAlignment="1">
      <alignment horizontal="left" wrapText="1"/>
    </xf>
    <xf numFmtId="168" fontId="52" fillId="0" borderId="0" xfId="3" applyNumberFormat="1" applyFont="1" applyFill="1"/>
    <xf numFmtId="170" fontId="13" fillId="0" borderId="0" xfId="5" applyFont="1" applyFill="1"/>
    <xf numFmtId="1" fontId="13" fillId="0" borderId="0" xfId="5" applyNumberFormat="1" applyFont="1" applyFill="1"/>
    <xf numFmtId="1" fontId="13" fillId="0" borderId="0" xfId="3" applyNumberFormat="1" applyFont="1" applyFill="1" applyBorder="1"/>
    <xf numFmtId="3" fontId="13" fillId="0" borderId="0" xfId="5" applyNumberFormat="1" applyFont="1" applyFill="1"/>
    <xf numFmtId="0" fontId="18" fillId="0" borderId="86" xfId="2" applyFont="1" applyFill="1" applyBorder="1" applyAlignment="1">
      <alignment horizontal="right"/>
    </xf>
    <xf numFmtId="170" fontId="18" fillId="0" borderId="87" xfId="5" applyFont="1" applyFill="1" applyBorder="1" applyAlignment="1">
      <alignment horizontal="center"/>
    </xf>
    <xf numFmtId="170" fontId="18" fillId="0" borderId="0" xfId="5" applyFont="1" applyFill="1" applyAlignment="1">
      <alignment horizontal="right"/>
    </xf>
    <xf numFmtId="168" fontId="23" fillId="0" borderId="12" xfId="3" applyNumberFormat="1" applyFont="1" applyFill="1" applyBorder="1" applyAlignment="1">
      <alignment horizontal="right"/>
    </xf>
    <xf numFmtId="168" fontId="23" fillId="0" borderId="89" xfId="3" applyNumberFormat="1" applyFont="1" applyFill="1" applyBorder="1"/>
    <xf numFmtId="168" fontId="23" fillId="0" borderId="16" xfId="3" applyNumberFormat="1" applyFont="1" applyFill="1" applyBorder="1" applyAlignment="1">
      <alignment horizontal="right"/>
    </xf>
    <xf numFmtId="170" fontId="14" fillId="0" borderId="24" xfId="5" applyFont="1" applyFill="1" applyBorder="1"/>
    <xf numFmtId="168" fontId="23" fillId="0" borderId="14" xfId="3" applyNumberFormat="1" applyFont="1" applyFill="1" applyBorder="1"/>
    <xf numFmtId="168" fontId="23" fillId="0" borderId="69" xfId="3" applyNumberFormat="1" applyFont="1" applyFill="1" applyBorder="1"/>
    <xf numFmtId="168" fontId="14" fillId="0" borderId="0" xfId="3" applyNumberFormat="1" applyFont="1" applyFill="1" applyAlignment="1">
      <alignment horizontal="right"/>
    </xf>
    <xf numFmtId="170" fontId="14" fillId="0" borderId="0" xfId="5" applyFont="1" applyFill="1" applyAlignment="1">
      <alignment horizontal="left"/>
    </xf>
    <xf numFmtId="170" fontId="14" fillId="0" borderId="120" xfId="5" applyFont="1" applyFill="1" applyBorder="1"/>
    <xf numFmtId="168" fontId="23" fillId="0" borderId="120" xfId="3" applyNumberFormat="1" applyFont="1" applyFill="1" applyBorder="1"/>
    <xf numFmtId="168" fontId="23" fillId="0" borderId="132" xfId="3" applyNumberFormat="1" applyFont="1" applyFill="1" applyBorder="1"/>
    <xf numFmtId="168" fontId="23" fillId="0" borderId="84" xfId="3" applyNumberFormat="1" applyFont="1" applyFill="1" applyBorder="1"/>
    <xf numFmtId="168" fontId="53" fillId="0" borderId="30" xfId="3" applyNumberFormat="1" applyFont="1" applyFill="1" applyBorder="1" applyAlignment="1">
      <alignment horizontal="right"/>
    </xf>
    <xf numFmtId="168" fontId="53" fillId="0" borderId="31" xfId="3" applyNumberFormat="1" applyFont="1" applyFill="1" applyBorder="1"/>
    <xf numFmtId="168" fontId="53" fillId="0" borderId="92" xfId="3" applyNumberFormat="1" applyFont="1" applyFill="1" applyBorder="1"/>
    <xf numFmtId="168" fontId="42" fillId="0" borderId="32" xfId="3" applyNumberFormat="1" applyFont="1" applyFill="1" applyBorder="1"/>
    <xf numFmtId="168" fontId="53" fillId="0" borderId="89" xfId="3" applyNumberFormat="1" applyFont="1" applyFill="1" applyBorder="1"/>
    <xf numFmtId="168" fontId="53" fillId="0" borderId="16" xfId="3" applyNumberFormat="1" applyFont="1" applyFill="1" applyBorder="1" applyAlignment="1">
      <alignment horizontal="right"/>
    </xf>
    <xf numFmtId="0" fontId="14" fillId="0" borderId="24" xfId="2" applyFont="1" applyFill="1" applyBorder="1" applyAlignment="1">
      <alignment horizontal="right"/>
    </xf>
    <xf numFmtId="168" fontId="53" fillId="0" borderId="24" xfId="3" applyNumberFormat="1" applyFont="1" applyFill="1" applyBorder="1"/>
    <xf numFmtId="168" fontId="53" fillId="0" borderId="68" xfId="3" applyNumberFormat="1" applyFont="1" applyFill="1" applyBorder="1"/>
    <xf numFmtId="168" fontId="42" fillId="0" borderId="14" xfId="3" applyNumberFormat="1" applyFont="1" applyFill="1" applyBorder="1"/>
    <xf numFmtId="168" fontId="53" fillId="0" borderId="69" xfId="3" applyNumberFormat="1" applyFont="1" applyFill="1" applyBorder="1"/>
    <xf numFmtId="168" fontId="53" fillId="0" borderId="35" xfId="3" applyNumberFormat="1" applyFont="1" applyFill="1" applyBorder="1" applyAlignment="1">
      <alignment horizontal="right"/>
    </xf>
    <xf numFmtId="0" fontId="14" fillId="0" borderId="36" xfId="2" applyFont="1" applyFill="1" applyBorder="1" applyAlignment="1">
      <alignment horizontal="right"/>
    </xf>
    <xf numFmtId="168" fontId="53" fillId="0" borderId="90" xfId="3" applyNumberFormat="1" applyFont="1" applyFill="1" applyBorder="1"/>
    <xf numFmtId="168" fontId="53" fillId="0" borderId="36" xfId="3" applyNumberFormat="1" applyFont="1" applyFill="1" applyBorder="1"/>
    <xf numFmtId="168" fontId="42" fillId="0" borderId="41" xfId="3" applyNumberFormat="1" applyFont="1" applyFill="1" applyBorder="1"/>
    <xf numFmtId="168" fontId="53" fillId="0" borderId="91" xfId="3" applyNumberFormat="1" applyFont="1" applyFill="1" applyBorder="1"/>
    <xf numFmtId="168" fontId="54" fillId="0" borderId="30" xfId="3" applyNumberFormat="1" applyFont="1" applyFill="1" applyBorder="1" applyAlignment="1">
      <alignment horizontal="right"/>
    </xf>
    <xf numFmtId="168" fontId="54" fillId="0" borderId="31" xfId="3" applyNumberFormat="1" applyFont="1" applyFill="1" applyBorder="1"/>
    <xf numFmtId="168" fontId="54" fillId="0" borderId="92" xfId="3" applyNumberFormat="1" applyFont="1" applyFill="1" applyBorder="1"/>
    <xf numFmtId="168" fontId="55" fillId="0" borderId="31" xfId="3" applyNumberFormat="1" applyFont="1" applyFill="1" applyBorder="1"/>
    <xf numFmtId="168" fontId="55" fillId="0" borderId="10" xfId="3" applyNumberFormat="1" applyFont="1" applyFill="1" applyBorder="1"/>
    <xf numFmtId="168" fontId="54" fillId="0" borderId="89" xfId="3" applyNumberFormat="1" applyFont="1" applyFill="1" applyBorder="1"/>
    <xf numFmtId="168" fontId="54" fillId="0" borderId="16" xfId="3" applyNumberFormat="1" applyFont="1" applyFill="1" applyBorder="1" applyAlignment="1">
      <alignment horizontal="right"/>
    </xf>
    <xf numFmtId="168" fontId="54" fillId="0" borderId="24" xfId="3" applyNumberFormat="1" applyFont="1" applyFill="1" applyBorder="1"/>
    <xf numFmtId="168" fontId="54" fillId="0" borderId="68" xfId="3" applyNumberFormat="1" applyFont="1" applyFill="1" applyBorder="1"/>
    <xf numFmtId="168" fontId="55" fillId="0" borderId="14" xfId="3" applyNumberFormat="1" applyFont="1" applyFill="1" applyBorder="1"/>
    <xf numFmtId="168" fontId="54" fillId="0" borderId="69" xfId="3" applyNumberFormat="1" applyFont="1" applyFill="1" applyBorder="1"/>
    <xf numFmtId="170" fontId="23" fillId="0" borderId="120" xfId="5" applyFont="1" applyFill="1" applyBorder="1"/>
    <xf numFmtId="168" fontId="54" fillId="0" borderId="132" xfId="3" applyNumberFormat="1" applyFont="1" applyFill="1" applyBorder="1"/>
    <xf numFmtId="168" fontId="54" fillId="0" borderId="120" xfId="3" applyNumberFormat="1" applyFont="1" applyFill="1" applyBorder="1"/>
    <xf numFmtId="170" fontId="14" fillId="0" borderId="68" xfId="5" applyFont="1" applyFill="1" applyBorder="1"/>
    <xf numFmtId="170" fontId="14" fillId="0" borderId="108" xfId="5" applyFont="1" applyFill="1" applyBorder="1"/>
    <xf numFmtId="170" fontId="14" fillId="0" borderId="132" xfId="5" applyFont="1" applyFill="1" applyBorder="1"/>
    <xf numFmtId="170" fontId="40" fillId="0" borderId="30" xfId="5" applyFont="1" applyFill="1" applyBorder="1" applyAlignment="1">
      <alignment horizontal="right"/>
    </xf>
    <xf numFmtId="168" fontId="25" fillId="0" borderId="96" xfId="3" applyNumberFormat="1" applyFont="1" applyFill="1" applyBorder="1" applyAlignment="1">
      <alignment horizontal="right"/>
    </xf>
    <xf numFmtId="168" fontId="25" fillId="0" borderId="32" xfId="3" applyNumberFormat="1" applyFont="1" applyFill="1" applyBorder="1" applyAlignment="1">
      <alignment horizontal="right"/>
    </xf>
    <xf numFmtId="168" fontId="25" fillId="0" borderId="89" xfId="3" applyNumberFormat="1" applyFont="1" applyFill="1" applyBorder="1" applyAlignment="1">
      <alignment horizontal="right"/>
    </xf>
    <xf numFmtId="170" fontId="40" fillId="0" borderId="16" xfId="5" applyFont="1" applyFill="1" applyBorder="1" applyAlignment="1">
      <alignment horizontal="right"/>
    </xf>
    <xf numFmtId="168" fontId="25" fillId="0" borderId="13" xfId="3" applyNumberFormat="1" applyFont="1" applyFill="1" applyBorder="1" applyAlignment="1">
      <alignment horizontal="right"/>
    </xf>
    <xf numFmtId="168" fontId="25" fillId="0" borderId="10" xfId="3" applyNumberFormat="1" applyFont="1" applyFill="1" applyBorder="1" applyAlignment="1">
      <alignment horizontal="right"/>
    </xf>
    <xf numFmtId="168" fontId="25" fillId="0" borderId="66" xfId="3" applyNumberFormat="1" applyFont="1" applyFill="1" applyBorder="1" applyAlignment="1">
      <alignment horizontal="right"/>
    </xf>
    <xf numFmtId="170" fontId="40" fillId="0" borderId="35" xfId="5" applyFont="1" applyFill="1" applyBorder="1" applyAlignment="1">
      <alignment horizontal="right"/>
    </xf>
    <xf numFmtId="170" fontId="14" fillId="0" borderId="25" xfId="5" applyFont="1" applyFill="1" applyBorder="1"/>
    <xf numFmtId="168" fontId="25" fillId="0" borderId="22" xfId="3" applyNumberFormat="1" applyFont="1" applyFill="1" applyBorder="1" applyAlignment="1">
      <alignment horizontal="right"/>
    </xf>
    <xf numFmtId="168" fontId="25" fillId="0" borderId="19" xfId="3" applyNumberFormat="1" applyFont="1" applyFill="1" applyBorder="1" applyAlignment="1">
      <alignment horizontal="right"/>
    </xf>
    <xf numFmtId="168" fontId="25" fillId="0" borderId="140" xfId="3" applyNumberFormat="1" applyFont="1" applyFill="1" applyBorder="1" applyAlignment="1">
      <alignment horizontal="right"/>
    </xf>
    <xf numFmtId="0" fontId="13" fillId="0" borderId="19" xfId="2" applyFill="1" applyBorder="1"/>
    <xf numFmtId="168" fontId="14" fillId="0" borderId="19" xfId="3" applyNumberFormat="1" applyFont="1" applyFill="1" applyBorder="1" applyAlignment="1">
      <alignment horizontal="right"/>
    </xf>
    <xf numFmtId="170" fontId="14" fillId="0" borderId="19" xfId="5" applyFont="1" applyFill="1" applyBorder="1" applyAlignment="1">
      <alignment horizontal="left"/>
    </xf>
    <xf numFmtId="170" fontId="14" fillId="0" borderId="19" xfId="5" applyFont="1" applyFill="1" applyBorder="1"/>
    <xf numFmtId="170" fontId="40" fillId="0" borderId="12" xfId="5" applyFont="1" applyFill="1" applyBorder="1" applyAlignment="1">
      <alignment horizontal="right"/>
    </xf>
    <xf numFmtId="168" fontId="25" fillId="0" borderId="84" xfId="3" applyNumberFormat="1" applyFont="1" applyFill="1" applyBorder="1" applyAlignment="1">
      <alignment horizontal="right"/>
    </xf>
    <xf numFmtId="170" fontId="18" fillId="0" borderId="16" xfId="5" applyFont="1" applyFill="1" applyBorder="1" applyAlignment="1">
      <alignment horizontal="right"/>
    </xf>
    <xf numFmtId="170" fontId="14" fillId="0" borderId="35" xfId="5" applyFont="1" applyFill="1" applyBorder="1"/>
    <xf numFmtId="170" fontId="14" fillId="0" borderId="36" xfId="5" applyFont="1" applyFill="1" applyBorder="1"/>
    <xf numFmtId="170" fontId="14" fillId="0" borderId="36" xfId="5" applyFont="1" applyFill="1" applyBorder="1" applyAlignment="1">
      <alignment horizontal="right"/>
    </xf>
    <xf numFmtId="0" fontId="14" fillId="0" borderId="36" xfId="2" applyFont="1" applyFill="1" applyBorder="1" applyAlignment="1">
      <alignment horizontal="left"/>
    </xf>
    <xf numFmtId="0" fontId="23" fillId="0" borderId="90" xfId="2" applyFont="1" applyFill="1" applyBorder="1" applyAlignment="1">
      <alignment horizontal="left"/>
    </xf>
    <xf numFmtId="0" fontId="23" fillId="0" borderId="0" xfId="2" applyFont="1" applyFill="1" applyAlignment="1">
      <alignment horizontal="left"/>
    </xf>
    <xf numFmtId="170" fontId="46" fillId="0" borderId="134" xfId="5" applyFont="1" applyFill="1" applyBorder="1"/>
    <xf numFmtId="170" fontId="46" fillId="0" borderId="131" xfId="5" applyFont="1" applyFill="1" applyBorder="1"/>
    <xf numFmtId="0" fontId="58" fillId="0" borderId="131" xfId="2" applyFont="1" applyFill="1" applyBorder="1"/>
    <xf numFmtId="0" fontId="58" fillId="0" borderId="135" xfId="2" applyFont="1" applyFill="1" applyBorder="1"/>
    <xf numFmtId="0" fontId="58" fillId="0" borderId="136" xfId="2" applyFont="1" applyFill="1" applyBorder="1"/>
    <xf numFmtId="170" fontId="46" fillId="0" borderId="0" xfId="5" applyFont="1" applyFill="1"/>
    <xf numFmtId="0" fontId="46" fillId="0" borderId="105" xfId="2" applyFont="1" applyFill="1" applyBorder="1" applyAlignment="1">
      <alignment horizontal="center"/>
    </xf>
    <xf numFmtId="0" fontId="46" fillId="0" borderId="24" xfId="2" applyFont="1" applyFill="1" applyBorder="1" applyAlignment="1">
      <alignment horizontal="center"/>
    </xf>
    <xf numFmtId="170" fontId="46" fillId="0" borderId="24" xfId="5" applyFont="1" applyFill="1" applyBorder="1" applyAlignment="1">
      <alignment horizontal="center"/>
    </xf>
    <xf numFmtId="0" fontId="58" fillId="0" borderId="0" xfId="2" applyFont="1" applyFill="1"/>
    <xf numFmtId="170" fontId="46" fillId="0" borderId="0" xfId="5" applyFont="1" applyFill="1" applyAlignment="1">
      <alignment horizontal="center"/>
    </xf>
    <xf numFmtId="168" fontId="46" fillId="0" borderId="105" xfId="3" applyNumberFormat="1" applyFont="1" applyFill="1" applyBorder="1"/>
    <xf numFmtId="168" fontId="46" fillId="0" borderId="24" xfId="3" applyNumberFormat="1" applyFont="1" applyFill="1" applyBorder="1"/>
    <xf numFmtId="168" fontId="46" fillId="0" borderId="106" xfId="3" applyNumberFormat="1" applyFont="1" applyFill="1" applyBorder="1"/>
    <xf numFmtId="168" fontId="46" fillId="0" borderId="0" xfId="3" applyNumberFormat="1" applyFont="1" applyFill="1"/>
    <xf numFmtId="170" fontId="46" fillId="0" borderId="105" xfId="5" applyFont="1" applyFill="1" applyBorder="1"/>
    <xf numFmtId="170" fontId="46" fillId="0" borderId="24" xfId="5" applyFont="1" applyFill="1" applyBorder="1"/>
    <xf numFmtId="170" fontId="46" fillId="0" borderId="68" xfId="5" applyFont="1" applyFill="1" applyBorder="1"/>
    <xf numFmtId="170" fontId="46" fillId="0" borderId="48" xfId="5" applyFont="1" applyFill="1" applyBorder="1"/>
    <xf numFmtId="170" fontId="46" fillId="0" borderId="83" xfId="5" applyFont="1" applyFill="1" applyBorder="1"/>
    <xf numFmtId="167" fontId="46" fillId="0" borderId="137" xfId="3" applyNumberFormat="1" applyFont="1" applyFill="1" applyBorder="1"/>
    <xf numFmtId="0" fontId="58" fillId="0" borderId="110" xfId="2" applyFont="1" applyFill="1" applyBorder="1"/>
    <xf numFmtId="0" fontId="58" fillId="0" borderId="111" xfId="2" applyFont="1" applyFill="1" applyBorder="1"/>
    <xf numFmtId="0" fontId="58" fillId="0" borderId="138" xfId="2" applyFont="1" applyFill="1" applyBorder="1"/>
    <xf numFmtId="0" fontId="48" fillId="0" borderId="86" xfId="2" applyFont="1" applyFill="1" applyBorder="1" applyAlignment="1">
      <alignment horizontal="right"/>
    </xf>
    <xf numFmtId="168" fontId="46" fillId="0" borderId="114" xfId="3" applyNumberFormat="1" applyFont="1" applyFill="1" applyBorder="1"/>
    <xf numFmtId="170" fontId="28" fillId="0" borderId="0" xfId="5" applyFont="1" applyFill="1"/>
    <xf numFmtId="172" fontId="13" fillId="0" borderId="0" xfId="2" applyNumberFormat="1" applyFill="1"/>
    <xf numFmtId="0" fontId="14" fillId="0" borderId="125" xfId="2" applyFont="1" applyFill="1" applyBorder="1" applyAlignment="1">
      <alignment horizontal="center"/>
    </xf>
    <xf numFmtId="0" fontId="14" fillId="0" borderId="126" xfId="2" applyFont="1" applyFill="1" applyBorder="1"/>
    <xf numFmtId="168" fontId="18" fillId="0" borderId="126" xfId="2" applyNumberFormat="1" applyFont="1" applyFill="1" applyBorder="1" applyAlignment="1">
      <alignment horizontal="centerContinuous"/>
    </xf>
    <xf numFmtId="0" fontId="18" fillId="0" borderId="126" xfId="2" applyFont="1" applyFill="1" applyBorder="1" applyAlignment="1">
      <alignment horizontal="centerContinuous"/>
    </xf>
    <xf numFmtId="168" fontId="14" fillId="0" borderId="126" xfId="2" applyNumberFormat="1" applyFont="1" applyFill="1" applyBorder="1"/>
    <xf numFmtId="0" fontId="13" fillId="0" borderId="126" xfId="2" applyFill="1" applyBorder="1"/>
    <xf numFmtId="0" fontId="13" fillId="0" borderId="126" xfId="2" applyFont="1" applyFill="1" applyBorder="1"/>
    <xf numFmtId="168" fontId="13" fillId="0" borderId="126" xfId="2" applyNumberFormat="1" applyFont="1" applyFill="1" applyBorder="1"/>
    <xf numFmtId="0" fontId="60" fillId="0" borderId="126" xfId="2" applyFont="1" applyFill="1" applyBorder="1"/>
    <xf numFmtId="0" fontId="34" fillId="0" borderId="141" xfId="2" applyFont="1" applyFill="1" applyBorder="1"/>
    <xf numFmtId="0" fontId="34" fillId="0" borderId="142" xfId="2" applyFont="1" applyFill="1" applyBorder="1"/>
    <xf numFmtId="0" fontId="13" fillId="0" borderId="0" xfId="2" applyFill="1" applyAlignment="1">
      <alignment horizontal="left"/>
    </xf>
    <xf numFmtId="0" fontId="18" fillId="0" borderId="129" xfId="2" applyFont="1" applyFill="1" applyBorder="1"/>
    <xf numFmtId="16" fontId="18" fillId="0" borderId="129" xfId="2" quotePrefix="1" applyNumberFormat="1" applyFont="1" applyFill="1" applyBorder="1" applyAlignment="1">
      <alignment horizontal="center"/>
    </xf>
    <xf numFmtId="0" fontId="18" fillId="0" borderId="129" xfId="2" quotePrefix="1" applyFont="1" applyFill="1" applyBorder="1" applyAlignment="1">
      <alignment horizontal="center"/>
    </xf>
    <xf numFmtId="0" fontId="18" fillId="0" borderId="73" xfId="2" applyFont="1" applyFill="1" applyBorder="1" applyAlignment="1">
      <alignment horizontal="center"/>
    </xf>
    <xf numFmtId="0" fontId="28" fillId="0" borderId="0" xfId="2" applyFont="1" applyFill="1" applyAlignment="1">
      <alignment horizontal="left"/>
    </xf>
    <xf numFmtId="0" fontId="14" fillId="0" borderId="100" xfId="2" applyFont="1" applyFill="1" applyBorder="1"/>
    <xf numFmtId="168" fontId="14" fillId="0" borderId="135" xfId="3" applyNumberFormat="1" applyFont="1" applyFill="1" applyBorder="1" applyProtection="1"/>
    <xf numFmtId="168" fontId="14" fillId="0" borderId="131" xfId="3" applyNumberFormat="1" applyFont="1" applyFill="1" applyBorder="1" applyProtection="1"/>
    <xf numFmtId="0" fontId="14" fillId="0" borderId="70" xfId="2" applyFont="1" applyFill="1" applyBorder="1"/>
    <xf numFmtId="0" fontId="18" fillId="0" borderId="134" xfId="2" applyFont="1" applyFill="1" applyBorder="1"/>
    <xf numFmtId="168" fontId="18" fillId="0" borderId="131" xfId="3" applyNumberFormat="1" applyFont="1" applyFill="1" applyBorder="1" applyProtection="1"/>
    <xf numFmtId="168" fontId="18" fillId="0" borderId="131" xfId="3" applyNumberFormat="1" applyFont="1" applyFill="1" applyBorder="1"/>
    <xf numFmtId="168" fontId="18" fillId="0" borderId="69" xfId="2" applyNumberFormat="1" applyFont="1" applyFill="1" applyBorder="1"/>
    <xf numFmtId="168" fontId="61" fillId="0" borderId="0" xfId="2" applyNumberFormat="1" applyFont="1" applyFill="1" applyAlignment="1">
      <alignment horizontal="left"/>
    </xf>
    <xf numFmtId="0" fontId="61" fillId="0" borderId="0" xfId="2" applyFont="1" applyFill="1"/>
    <xf numFmtId="0" fontId="14" fillId="0" borderId="105" xfId="2" applyFont="1" applyFill="1" applyBorder="1" applyAlignment="1">
      <alignment horizontal="right"/>
    </xf>
    <xf numFmtId="0" fontId="14" fillId="0" borderId="103" xfId="2" applyFont="1" applyFill="1" applyBorder="1" applyAlignment="1">
      <alignment horizontal="right"/>
    </xf>
    <xf numFmtId="168" fontId="18" fillId="0" borderId="66" xfId="2" applyNumberFormat="1" applyFont="1" applyFill="1" applyBorder="1"/>
    <xf numFmtId="0" fontId="14" fillId="0" borderId="110" xfId="2" applyFont="1" applyFill="1" applyBorder="1" applyAlignment="1">
      <alignment horizontal="right"/>
    </xf>
    <xf numFmtId="168" fontId="14" fillId="0" borderId="111" xfId="3" applyNumberFormat="1" applyFont="1" applyFill="1" applyBorder="1" applyProtection="1"/>
    <xf numFmtId="168" fontId="18" fillId="0" borderId="133" xfId="2" applyNumberFormat="1" applyFont="1" applyFill="1" applyBorder="1"/>
    <xf numFmtId="0" fontId="14" fillId="0" borderId="144" xfId="2" applyFont="1" applyFill="1" applyBorder="1"/>
    <xf numFmtId="0" fontId="14" fillId="0" borderId="144" xfId="2" applyFont="1" applyFill="1" applyBorder="1" applyAlignment="1">
      <alignment wrapText="1"/>
    </xf>
    <xf numFmtId="168" fontId="13" fillId="0" borderId="0" xfId="2" applyNumberFormat="1" applyFill="1" applyAlignment="1">
      <alignment horizontal="left"/>
    </xf>
    <xf numFmtId="0" fontId="14" fillId="0" borderId="145" xfId="2" applyFont="1" applyFill="1" applyBorder="1"/>
    <xf numFmtId="168" fontId="14" fillId="0" borderId="23" xfId="3" applyNumberFormat="1" applyFont="1" applyFill="1" applyBorder="1" applyAlignment="1" applyProtection="1">
      <alignment horizontal="right"/>
    </xf>
    <xf numFmtId="168" fontId="14" fillId="0" borderId="120" xfId="3" applyNumberFormat="1" applyFont="1" applyFill="1" applyBorder="1" applyAlignment="1" applyProtection="1">
      <alignment horizontal="right"/>
    </xf>
    <xf numFmtId="0" fontId="14" fillId="0" borderId="146" xfId="2" applyFont="1" applyFill="1" applyBorder="1"/>
    <xf numFmtId="168" fontId="14" fillId="0" borderId="138" xfId="3" applyNumberFormat="1" applyFont="1" applyFill="1" applyBorder="1" applyProtection="1"/>
    <xf numFmtId="168" fontId="14" fillId="0" borderId="111" xfId="3" applyNumberFormat="1" applyFont="1" applyFill="1" applyBorder="1" applyAlignment="1" applyProtection="1">
      <alignment horizontal="right"/>
    </xf>
    <xf numFmtId="168" fontId="14" fillId="0" borderId="63" xfId="3" applyNumberFormat="1" applyFont="1" applyFill="1" applyBorder="1" applyProtection="1"/>
    <xf numFmtId="168" fontId="14" fillId="0" borderId="148" xfId="3" applyNumberFormat="1" applyFont="1" applyFill="1" applyBorder="1" applyProtection="1"/>
    <xf numFmtId="168" fontId="14" fillId="0" borderId="139" xfId="3" applyNumberFormat="1" applyFont="1" applyFill="1" applyBorder="1" applyProtection="1"/>
    <xf numFmtId="0" fontId="62" fillId="0" borderId="0" xfId="2" applyFont="1" applyFill="1"/>
    <xf numFmtId="0" fontId="63" fillId="0" borderId="0" xfId="2" applyFont="1" applyFill="1" applyAlignment="1">
      <alignment horizontal="left"/>
    </xf>
    <xf numFmtId="0" fontId="63" fillId="0" borderId="0" xfId="2" applyFont="1" applyFill="1"/>
    <xf numFmtId="168" fontId="14" fillId="0" borderId="0" xfId="3" applyNumberFormat="1" applyFont="1" applyFill="1" applyBorder="1" applyAlignment="1" applyProtection="1">
      <alignment horizontal="right"/>
    </xf>
    <xf numFmtId="168" fontId="28" fillId="0" borderId="0" xfId="2" applyNumberFormat="1" applyFont="1" applyFill="1"/>
    <xf numFmtId="43" fontId="14" fillId="0" borderId="0" xfId="3" applyFont="1" applyFill="1" applyBorder="1" applyProtection="1"/>
    <xf numFmtId="168" fontId="65" fillId="0" borderId="0" xfId="3" applyNumberFormat="1" applyFont="1" applyFill="1" applyBorder="1" applyProtection="1"/>
    <xf numFmtId="0" fontId="60" fillId="0" borderId="0" xfId="2" applyFont="1" applyFill="1"/>
    <xf numFmtId="0" fontId="64" fillId="0" borderId="0" xfId="2" applyFont="1" applyFill="1"/>
    <xf numFmtId="168" fontId="64" fillId="0" borderId="0" xfId="2" applyNumberFormat="1" applyFont="1" applyFill="1"/>
    <xf numFmtId="0" fontId="20" fillId="0" borderId="0" xfId="2" applyFont="1" applyFill="1"/>
    <xf numFmtId="170" fontId="28" fillId="0" borderId="0" xfId="5" applyFont="1" applyFill="1" applyAlignment="1">
      <alignment horizontal="left"/>
    </xf>
    <xf numFmtId="170" fontId="44" fillId="0" borderId="0" xfId="5" applyFont="1" applyFill="1"/>
    <xf numFmtId="170" fontId="14" fillId="0" borderId="125" xfId="5" applyFont="1" applyFill="1" applyBorder="1" applyAlignment="1">
      <alignment horizontal="left"/>
    </xf>
    <xf numFmtId="170" fontId="44" fillId="0" borderId="126" xfId="5" applyFont="1" applyFill="1" applyBorder="1"/>
    <xf numFmtId="170" fontId="44" fillId="0" borderId="126" xfId="5" applyFont="1" applyFill="1" applyBorder="1" applyAlignment="1">
      <alignment horizontal="right"/>
    </xf>
    <xf numFmtId="170" fontId="50" fillId="0" borderId="126" xfId="5" applyFont="1" applyFill="1" applyBorder="1"/>
    <xf numFmtId="170" fontId="23" fillId="0" borderId="60" xfId="5" quotePrefix="1" applyFont="1" applyFill="1" applyBorder="1" applyAlignment="1">
      <alignment horizontal="center"/>
    </xf>
    <xf numFmtId="170" fontId="23" fillId="0" borderId="0" xfId="5" quotePrefix="1" applyFont="1" applyFill="1" applyAlignment="1">
      <alignment horizontal="center"/>
    </xf>
    <xf numFmtId="170" fontId="18" fillId="0" borderId="128" xfId="5" quotePrefix="1" applyFont="1" applyFill="1" applyBorder="1" applyAlignment="1">
      <alignment horizontal="center"/>
    </xf>
    <xf numFmtId="170" fontId="18" fillId="0" borderId="129" xfId="5" applyFont="1" applyFill="1" applyBorder="1"/>
    <xf numFmtId="170" fontId="18" fillId="0" borderId="129" xfId="5" quotePrefix="1" applyFont="1" applyFill="1" applyBorder="1"/>
    <xf numFmtId="170" fontId="18" fillId="0" borderId="129" xfId="5" quotePrefix="1" applyFont="1" applyFill="1" applyBorder="1" applyAlignment="1">
      <alignment horizontal="center"/>
    </xf>
    <xf numFmtId="170" fontId="23" fillId="0" borderId="73" xfId="5" applyFont="1" applyFill="1" applyBorder="1" applyAlignment="1">
      <alignment horizontal="center"/>
    </xf>
    <xf numFmtId="170" fontId="23" fillId="0" borderId="0" xfId="5" applyFont="1" applyFill="1" applyAlignment="1">
      <alignment horizontal="center"/>
    </xf>
    <xf numFmtId="0" fontId="14" fillId="0" borderId="134" xfId="2" applyFont="1" applyFill="1" applyBorder="1"/>
    <xf numFmtId="168" fontId="44" fillId="0" borderId="135" xfId="3" applyNumberFormat="1" applyFont="1" applyFill="1" applyBorder="1" applyProtection="1"/>
    <xf numFmtId="0" fontId="14" fillId="0" borderId="105" xfId="2" applyFont="1" applyFill="1" applyBorder="1"/>
    <xf numFmtId="168" fontId="44" fillId="0" borderId="132" xfId="3" applyNumberFormat="1" applyFont="1" applyFill="1" applyBorder="1"/>
    <xf numFmtId="0" fontId="18" fillId="0" borderId="100" xfId="2" applyFont="1" applyFill="1" applyBorder="1"/>
    <xf numFmtId="0" fontId="18" fillId="0" borderId="131" xfId="2" applyFont="1" applyFill="1" applyBorder="1"/>
    <xf numFmtId="168" fontId="18" fillId="0" borderId="131" xfId="2" applyNumberFormat="1" applyFont="1" applyFill="1" applyBorder="1"/>
    <xf numFmtId="168" fontId="18" fillId="0" borderId="135" xfId="2" applyNumberFormat="1" applyFont="1" applyFill="1" applyBorder="1"/>
    <xf numFmtId="168" fontId="18" fillId="0" borderId="65" xfId="2" applyNumberFormat="1" applyFont="1" applyFill="1" applyBorder="1"/>
    <xf numFmtId="168" fontId="18" fillId="0" borderId="104" xfId="2" applyNumberFormat="1" applyFont="1" applyFill="1" applyBorder="1"/>
    <xf numFmtId="168" fontId="18" fillId="0" borderId="106" xfId="2" applyNumberFormat="1" applyFont="1" applyFill="1" applyBorder="1"/>
    <xf numFmtId="168" fontId="18" fillId="0" borderId="151" xfId="2" applyNumberFormat="1" applyFont="1" applyFill="1" applyBorder="1"/>
    <xf numFmtId="0" fontId="14" fillId="0" borderId="103" xfId="2" applyFont="1" applyFill="1" applyBorder="1"/>
    <xf numFmtId="0" fontId="14" fillId="0" borderId="72" xfId="2" applyFont="1" applyFill="1" applyBorder="1"/>
    <xf numFmtId="168" fontId="23" fillId="0" borderId="111" xfId="3" applyNumberFormat="1" applyFont="1" applyFill="1" applyBorder="1"/>
    <xf numFmtId="168" fontId="23" fillId="0" borderId="138" xfId="3" applyNumberFormat="1" applyFont="1" applyFill="1" applyBorder="1"/>
    <xf numFmtId="168" fontId="44" fillId="0" borderId="0" xfId="3" applyNumberFormat="1" applyFont="1" applyFill="1" applyBorder="1"/>
    <xf numFmtId="170" fontId="50" fillId="0" borderId="0" xfId="5" applyFont="1" applyFill="1"/>
    <xf numFmtId="170" fontId="50" fillId="0" borderId="120" xfId="5" applyFont="1" applyFill="1" applyBorder="1"/>
    <xf numFmtId="170" fontId="18" fillId="0" borderId="134" xfId="5" quotePrefix="1" applyFont="1" applyFill="1" applyBorder="1" applyAlignment="1">
      <alignment horizontal="center"/>
    </xf>
    <xf numFmtId="170" fontId="18" fillId="0" borderId="131" xfId="5" applyFont="1" applyFill="1" applyBorder="1" applyAlignment="1">
      <alignment horizontal="center"/>
    </xf>
    <xf numFmtId="170" fontId="18" fillId="0" borderId="131" xfId="5" applyFont="1" applyFill="1" applyBorder="1"/>
    <xf numFmtId="170" fontId="18" fillId="0" borderId="131" xfId="5" quotePrefix="1" applyFont="1" applyFill="1" applyBorder="1"/>
    <xf numFmtId="170" fontId="18" fillId="0" borderId="131" xfId="5" quotePrefix="1" applyFont="1" applyFill="1" applyBorder="1" applyAlignment="1">
      <alignment horizontal="center"/>
    </xf>
    <xf numFmtId="170" fontId="18" fillId="0" borderId="135" xfId="5" quotePrefix="1" applyFont="1" applyFill="1" applyBorder="1" applyAlignment="1">
      <alignment horizontal="center"/>
    </xf>
    <xf numFmtId="170" fontId="23" fillId="0" borderId="102" xfId="5" applyFont="1" applyFill="1" applyBorder="1" applyAlignment="1">
      <alignment horizontal="center"/>
    </xf>
    <xf numFmtId="168" fontId="18" fillId="0" borderId="98" xfId="3" applyNumberFormat="1" applyFont="1" applyFill="1" applyBorder="1"/>
    <xf numFmtId="0" fontId="14" fillId="0" borderId="110" xfId="2" applyFont="1" applyFill="1" applyBorder="1"/>
    <xf numFmtId="168" fontId="44" fillId="0" borderId="138" xfId="3" applyNumberFormat="1" applyFont="1" applyFill="1" applyBorder="1"/>
    <xf numFmtId="170" fontId="14" fillId="0" borderId="111" xfId="5" applyFont="1" applyFill="1" applyBorder="1"/>
    <xf numFmtId="168" fontId="18" fillId="0" borderId="152" xfId="3" applyNumberFormat="1" applyFont="1" applyFill="1" applyBorder="1"/>
    <xf numFmtId="0" fontId="14" fillId="0" borderId="9" xfId="2" applyFont="1" applyFill="1" applyBorder="1"/>
    <xf numFmtId="1" fontId="18" fillId="0" borderId="129" xfId="2" quotePrefix="1" applyNumberFormat="1" applyFont="1" applyFill="1" applyBorder="1" applyAlignment="1">
      <alignment horizontal="center"/>
    </xf>
    <xf numFmtId="0" fontId="28" fillId="0" borderId="0" xfId="2" quotePrefix="1" applyFont="1" applyFill="1"/>
    <xf numFmtId="167" fontId="14" fillId="0" borderId="0" xfId="2" applyNumberFormat="1" applyFont="1" applyFill="1"/>
    <xf numFmtId="173" fontId="14" fillId="0" borderId="0" xfId="2" applyNumberFormat="1" applyFont="1" applyFill="1"/>
    <xf numFmtId="37" fontId="14" fillId="0" borderId="0" xfId="2" applyNumberFormat="1" applyFont="1" applyFill="1"/>
    <xf numFmtId="0" fontId="18" fillId="0" borderId="167" xfId="2" applyFont="1" applyFill="1" applyBorder="1"/>
    <xf numFmtId="3" fontId="14" fillId="0" borderId="0" xfId="2" applyNumberFormat="1" applyFont="1" applyFill="1"/>
    <xf numFmtId="168" fontId="18" fillId="0" borderId="136" xfId="2" applyNumberFormat="1" applyFont="1" applyFill="1" applyBorder="1"/>
    <xf numFmtId="3" fontId="14" fillId="0" borderId="0" xfId="5" applyNumberFormat="1" applyFont="1" applyFill="1"/>
    <xf numFmtId="168" fontId="18" fillId="0" borderId="150" xfId="2" applyNumberFormat="1" applyFont="1" applyFill="1" applyBorder="1"/>
    <xf numFmtId="168" fontId="18" fillId="0" borderId="135" xfId="3" applyNumberFormat="1" applyFont="1" applyFill="1" applyBorder="1"/>
    <xf numFmtId="168" fontId="18" fillId="0" borderId="33" xfId="2" applyNumberFormat="1" applyFont="1" applyFill="1" applyBorder="1"/>
    <xf numFmtId="168" fontId="18" fillId="0" borderId="34" xfId="2" applyNumberFormat="1" applyFont="1" applyFill="1" applyBorder="1"/>
    <xf numFmtId="168" fontId="18" fillId="0" borderId="153" xfId="2" applyNumberFormat="1" applyFont="1" applyFill="1" applyBorder="1"/>
    <xf numFmtId="168" fontId="18" fillId="0" borderId="38" xfId="2" applyNumberFormat="1" applyFont="1" applyFill="1" applyBorder="1"/>
    <xf numFmtId="0" fontId="35" fillId="0" borderId="95" xfId="2" applyFont="1" applyFill="1" applyBorder="1" applyAlignment="1">
      <alignment horizontal="left"/>
    </xf>
    <xf numFmtId="0" fontId="13" fillId="0" borderId="32" xfId="2" applyFill="1" applyBorder="1"/>
    <xf numFmtId="0" fontId="13" fillId="0" borderId="33" xfId="2" applyFill="1" applyBorder="1"/>
    <xf numFmtId="0" fontId="13" fillId="0" borderId="9" xfId="2" applyFont="1" applyFill="1" applyBorder="1" applyAlignment="1">
      <alignment wrapText="1"/>
    </xf>
    <xf numFmtId="168" fontId="13" fillId="0" borderId="169" xfId="2" applyNumberFormat="1" applyFill="1" applyBorder="1"/>
    <xf numFmtId="0" fontId="13" fillId="0" borderId="18" xfId="2" applyFont="1" applyFill="1" applyBorder="1" applyAlignment="1">
      <alignment wrapText="1"/>
    </xf>
    <xf numFmtId="0" fontId="28" fillId="0" borderId="10" xfId="2" applyFont="1" applyFill="1" applyBorder="1"/>
    <xf numFmtId="168" fontId="13" fillId="0" borderId="10" xfId="3" applyNumberFormat="1" applyFont="1" applyFill="1" applyBorder="1"/>
    <xf numFmtId="168" fontId="13" fillId="0" borderId="153" xfId="2" applyNumberFormat="1" applyFill="1" applyBorder="1"/>
    <xf numFmtId="0" fontId="13" fillId="0" borderId="95" xfId="2" applyFill="1" applyBorder="1"/>
    <xf numFmtId="0" fontId="13" fillId="0" borderId="9" xfId="2" applyFill="1" applyBorder="1"/>
    <xf numFmtId="0" fontId="13" fillId="0" borderId="169" xfId="2" applyFill="1" applyBorder="1"/>
    <xf numFmtId="0" fontId="13" fillId="0" borderId="18" xfId="2" applyFill="1" applyBorder="1"/>
    <xf numFmtId="0" fontId="13" fillId="0" borderId="40" xfId="2" applyFill="1" applyBorder="1"/>
    <xf numFmtId="0" fontId="1" fillId="0" borderId="0" xfId="6" applyFill="1"/>
    <xf numFmtId="0" fontId="1" fillId="0" borderId="24" xfId="6" applyFill="1" applyBorder="1" applyAlignment="1">
      <alignment horizontal="center" vertical="center"/>
    </xf>
    <xf numFmtId="2" fontId="1" fillId="0" borderId="24" xfId="6" applyNumberFormat="1" applyFill="1" applyBorder="1"/>
    <xf numFmtId="2" fontId="1" fillId="0" borderId="0" xfId="6" applyNumberFormat="1" applyFill="1"/>
    <xf numFmtId="37" fontId="4" fillId="2" borderId="1" xfId="0" quotePrefix="1" applyNumberFormat="1" applyFont="1" applyFill="1" applyBorder="1" applyAlignment="1">
      <alignment horizontal="center"/>
    </xf>
    <xf numFmtId="37" fontId="4" fillId="2" borderId="2" xfId="0" applyNumberFormat="1" applyFont="1" applyFill="1" applyBorder="1" applyAlignment="1">
      <alignment horizontal="center"/>
    </xf>
    <xf numFmtId="37" fontId="4" fillId="2" borderId="3" xfId="0" applyNumberFormat="1" applyFont="1" applyFill="1" applyBorder="1" applyAlignment="1">
      <alignment horizontal="center"/>
    </xf>
    <xf numFmtId="37" fontId="4" fillId="2" borderId="4" xfId="0" quotePrefix="1" applyNumberFormat="1" applyFont="1" applyFill="1" applyBorder="1" applyAlignment="1">
      <alignment horizontal="left"/>
    </xf>
    <xf numFmtId="37" fontId="4" fillId="2" borderId="5" xfId="0" quotePrefix="1" applyNumberFormat="1" applyFont="1" applyFill="1" applyBorder="1" applyAlignment="1">
      <alignment horizontal="left"/>
    </xf>
    <xf numFmtId="37" fontId="4" fillId="2" borderId="6" xfId="0" applyNumberFormat="1" applyFont="1" applyFill="1" applyBorder="1" applyAlignment="1">
      <alignment horizontal="left"/>
    </xf>
    <xf numFmtId="37" fontId="4" fillId="2" borderId="5" xfId="0" applyNumberFormat="1" applyFont="1" applyFill="1" applyBorder="1" applyAlignment="1">
      <alignment horizontal="left"/>
    </xf>
    <xf numFmtId="0" fontId="15" fillId="0" borderId="19" xfId="2" applyFont="1" applyFill="1" applyBorder="1" applyAlignment="1">
      <alignment horizontal="left" wrapText="1"/>
    </xf>
    <xf numFmtId="0" fontId="16" fillId="0" borderId="19" xfId="2" applyFont="1" applyFill="1" applyBorder="1" applyAlignment="1">
      <alignment horizontal="left" wrapText="1"/>
    </xf>
    <xf numFmtId="0" fontId="13" fillId="0" borderId="19" xfId="2" applyFill="1" applyBorder="1" applyAlignment="1">
      <alignment horizontal="left" wrapText="1"/>
    </xf>
    <xf numFmtId="0" fontId="1" fillId="0" borderId="0" xfId="6" applyFill="1" applyAlignment="1">
      <alignment horizontal="center"/>
    </xf>
    <xf numFmtId="0" fontId="18" fillId="0" borderId="0" xfId="18" applyFont="1" applyAlignment="1">
      <alignment vertical="center"/>
    </xf>
    <xf numFmtId="0" fontId="14" fillId="0" borderId="0" xfId="2" applyFont="1" applyFill="1"/>
    <xf numFmtId="0" fontId="28" fillId="0" borderId="0" xfId="18" applyFont="1" applyAlignment="1">
      <alignment vertical="center"/>
    </xf>
  </cellXfs>
  <cellStyles count="28">
    <cellStyle name="Comma [0] 2" xfId="12" xr:uid="{DEAF2FE5-5003-4B01-BF6C-7E5EFC3D31A6}"/>
    <cellStyle name="Comma 10" xfId="25" xr:uid="{716928CF-E62A-4341-BA7E-7130DF806ACD}"/>
    <cellStyle name="Comma 11" xfId="26" xr:uid="{4B11B731-EBD4-463C-B192-5637AB87546A}"/>
    <cellStyle name="Comma 12" xfId="27" xr:uid="{68ADD567-1CCD-4EDE-BF35-C0D23F007542}"/>
    <cellStyle name="Comma 2" xfId="3" xr:uid="{33484B9E-B993-4956-9174-332547E5B626}"/>
    <cellStyle name="Comma 2 2" xfId="11" xr:uid="{EAF3F4F6-6A2F-4FC6-87F7-5440153E3CE9}"/>
    <cellStyle name="Comma 2 3" xfId="7" xr:uid="{B69DF1CB-250F-4D77-9F74-63BD909F534F}"/>
    <cellStyle name="Comma 3" xfId="9" xr:uid="{A1AB0045-C817-4932-BA06-8C6BDBB1A114}"/>
    <cellStyle name="Comma 4" xfId="19" xr:uid="{4A8CC54C-E5DA-4163-98F9-6F09E112B260}"/>
    <cellStyle name="Comma 5" xfId="21" xr:uid="{DA05CF25-3DF5-4672-9ED9-5E7FFD6611A8}"/>
    <cellStyle name="Comma 6" xfId="20" xr:uid="{217A08EC-A6FC-40C8-AC99-648AFE659979}"/>
    <cellStyle name="Comma 7" xfId="22" xr:uid="{B8838FD0-441D-4903-8B00-620ED1F35E6B}"/>
    <cellStyle name="Comma 8" xfId="23" xr:uid="{E21FCD7E-B5A4-40B8-895E-F45CFB1906CF}"/>
    <cellStyle name="Comma 9" xfId="24" xr:uid="{DBFD80F1-3E66-4113-9F78-0399C5DF9808}"/>
    <cellStyle name="Currency 2" xfId="16" xr:uid="{17B0FC6E-5E2C-46F6-9CF6-5C3D13A1AAB1}"/>
    <cellStyle name="Normal" xfId="0" builtinId="0"/>
    <cellStyle name="Normal 10 3" xfId="15" xr:uid="{F3320297-C1C0-4403-9771-1FC772F77707}"/>
    <cellStyle name="Normal 2" xfId="2" xr:uid="{8FB30313-42B2-452F-8D1D-6EB835B420E6}"/>
    <cellStyle name="Normal 2 10" xfId="18" xr:uid="{CD91D11E-DE95-4BD7-B604-AAB332031711}"/>
    <cellStyle name="Normal 2 2" xfId="14" xr:uid="{EA5B59AE-9AC0-4E9F-8DD5-2BFF6FBC6E92}"/>
    <cellStyle name="Normal 3" xfId="10" xr:uid="{AB2FB80C-4031-4123-B816-A11BD6814225}"/>
    <cellStyle name="Normal 3 5" xfId="1" xr:uid="{46EBC37F-C7B4-4ECF-BA37-371DFC1B2769}"/>
    <cellStyle name="Normal 354" xfId="6" xr:uid="{DEE06871-0732-4F19-8A14-5CDD5AD421A1}"/>
    <cellStyle name="Normal_CIPROGS" xfId="5" xr:uid="{A9CC3D79-283D-4C4F-B89D-AC2548EF765D}"/>
    <cellStyle name="Percent 2" xfId="4" xr:uid="{591E2DBE-A423-475C-8A9C-9A4CDBBE59FB}"/>
    <cellStyle name="Percent 2 2" xfId="13" xr:uid="{12243DA4-3366-4E4E-BFD8-A1EB8D7119CE}"/>
    <cellStyle name="Percent 2 3" xfId="8" xr:uid="{1AB8309D-E59E-4B36-A985-6F1367E07E54}"/>
    <cellStyle name="Percent 3" xfId="17" xr:uid="{3C21CB43-DAA1-4DD4-9BC0-47B7691DE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435767</xdr:colOff>
      <xdr:row>2</xdr:row>
      <xdr:rowOff>110488</xdr:rowOff>
    </xdr:from>
    <xdr:to>
      <xdr:col>47</xdr:col>
      <xdr:colOff>321373</xdr:colOff>
      <xdr:row>16</xdr:row>
      <xdr:rowOff>31114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C708560-19E3-4E00-BE6D-AA15C7BD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0567" y="110488"/>
          <a:ext cx="4390931" cy="2895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8267-E463-42EE-A831-FFBFBF4DFAF5}">
  <sheetPr>
    <pageSetUpPr fitToPage="1"/>
  </sheetPr>
  <dimension ref="B1:I35"/>
  <sheetViews>
    <sheetView zoomScaleNormal="100" workbookViewId="0">
      <selection activeCell="B1" sqref="B1:C2"/>
    </sheetView>
  </sheetViews>
  <sheetFormatPr defaultColWidth="9.140625" defaultRowHeight="15" x14ac:dyDescent="0.25"/>
  <cols>
    <col min="1" max="2" width="1.7109375" style="1" customWidth="1"/>
    <col min="3" max="3" width="3.7109375" style="1" customWidth="1"/>
    <col min="4" max="4" width="40.140625" style="1" customWidth="1"/>
    <col min="5" max="5" width="9.85546875" style="1" bestFit="1" customWidth="1"/>
    <col min="6" max="6" width="12.42578125" style="1" customWidth="1"/>
    <col min="7" max="9" width="10.140625" style="1" customWidth="1"/>
    <col min="10" max="16384" width="9.140625" style="1"/>
  </cols>
  <sheetData>
    <row r="1" spans="2:9" x14ac:dyDescent="0.25">
      <c r="B1" s="1088" t="s">
        <v>516</v>
      </c>
      <c r="C1" s="1088"/>
    </row>
    <row r="2" spans="2:9" x14ac:dyDescent="0.25">
      <c r="B2" s="1088" t="s">
        <v>517</v>
      </c>
      <c r="C2" s="1088"/>
    </row>
    <row r="3" spans="2:9" x14ac:dyDescent="0.25">
      <c r="I3" s="2" t="s">
        <v>0</v>
      </c>
    </row>
    <row r="4" spans="2:9" x14ac:dyDescent="0.25">
      <c r="I4" s="2" t="s">
        <v>1</v>
      </c>
    </row>
    <row r="5" spans="2:9" x14ac:dyDescent="0.25">
      <c r="I5" s="2" t="s">
        <v>2</v>
      </c>
    </row>
    <row r="8" spans="2:9" ht="15.75" thickBot="1" x14ac:dyDescent="0.3"/>
    <row r="9" spans="2:9" s="3" customFormat="1" ht="17.25" thickBot="1" x14ac:dyDescent="0.25">
      <c r="F9" s="1077" t="s">
        <v>3</v>
      </c>
      <c r="G9" s="1078"/>
      <c r="H9" s="1078"/>
      <c r="I9" s="1079"/>
    </row>
    <row r="10" spans="2:9" s="8" customFormat="1" ht="29.25" thickBot="1" x14ac:dyDescent="0.25">
      <c r="B10" s="1080" t="s">
        <v>4</v>
      </c>
      <c r="C10" s="1081"/>
      <c r="D10" s="1082"/>
      <c r="E10" s="4" t="s">
        <v>5</v>
      </c>
      <c r="F10" s="5" t="s">
        <v>6</v>
      </c>
      <c r="G10" s="6" t="s">
        <v>7</v>
      </c>
      <c r="H10" s="6" t="s">
        <v>8</v>
      </c>
      <c r="I10" s="7" t="s">
        <v>9</v>
      </c>
    </row>
    <row r="11" spans="2:9" s="13" customFormat="1" x14ac:dyDescent="0.25">
      <c r="B11" s="9" t="s">
        <v>10</v>
      </c>
      <c r="C11" s="10"/>
      <c r="D11" s="10"/>
      <c r="E11" s="11"/>
      <c r="F11" s="11"/>
      <c r="G11" s="11"/>
      <c r="H11" s="11"/>
      <c r="I11" s="12"/>
    </row>
    <row r="12" spans="2:9" ht="16.5" x14ac:dyDescent="0.25">
      <c r="B12" s="14"/>
      <c r="C12" s="15">
        <v>1</v>
      </c>
      <c r="D12" s="16" t="s">
        <v>11</v>
      </c>
      <c r="E12" s="281">
        <v>29587</v>
      </c>
      <c r="F12" s="282">
        <f>Installs!AS6</f>
        <v>4456559</v>
      </c>
      <c r="G12" s="283" t="s">
        <v>12</v>
      </c>
      <c r="H12" s="283" t="s">
        <v>12</v>
      </c>
      <c r="I12" s="284" t="s">
        <v>12</v>
      </c>
    </row>
    <row r="13" spans="2:9" ht="15.75" x14ac:dyDescent="0.25">
      <c r="B13" s="14"/>
      <c r="C13" s="17">
        <v>2</v>
      </c>
      <c r="D13" s="18" t="s">
        <v>13</v>
      </c>
      <c r="E13" s="285">
        <v>31594</v>
      </c>
      <c r="F13" s="286">
        <f>Installs!AR69</f>
        <v>652942</v>
      </c>
      <c r="G13" s="287">
        <f>DR!P8/1000</f>
        <v>831.12599999999998</v>
      </c>
      <c r="H13" s="287">
        <f>DR!R8/1000</f>
        <v>743.327</v>
      </c>
      <c r="I13" s="288">
        <f>DR!T8/1000000</f>
        <v>28.240420077572832</v>
      </c>
    </row>
    <row r="14" spans="2:9" x14ac:dyDescent="0.25">
      <c r="B14" s="14"/>
      <c r="C14" s="17">
        <v>3</v>
      </c>
      <c r="D14" s="19" t="s">
        <v>14</v>
      </c>
      <c r="E14" s="285">
        <v>33147</v>
      </c>
      <c r="F14" s="286">
        <f>Installs!AS8</f>
        <v>2051376</v>
      </c>
      <c r="G14" s="287">
        <f>'RES Gen'!AS11/1000</f>
        <v>1357.2489009278629</v>
      </c>
      <c r="H14" s="287">
        <f>'RES Gen'!AS34/1000</f>
        <v>472.98962153676666</v>
      </c>
      <c r="I14" s="288">
        <f>+('RES GWH Cum'!AT85-'RES GWH Cum'!AT104)/1000000</f>
        <v>32707.143447980103</v>
      </c>
    </row>
    <row r="15" spans="2:9" ht="15.75" x14ac:dyDescent="0.25">
      <c r="B15" s="14"/>
      <c r="C15" s="17">
        <v>4</v>
      </c>
      <c r="D15" s="18" t="s">
        <v>15</v>
      </c>
      <c r="E15" s="285">
        <v>35096</v>
      </c>
      <c r="F15" s="286">
        <f>Installs!AS9</f>
        <v>67820</v>
      </c>
      <c r="G15" s="287">
        <f>'RES Gen'!AS5/1000</f>
        <v>51.1648005326808</v>
      </c>
      <c r="H15" s="287">
        <f>'RES Gen'!AS28/1000</f>
        <v>36.178777683734168</v>
      </c>
      <c r="I15" s="288">
        <f>+('RES GWH Cum'!AT80-'RES GWH Cum'!AT99)/1000000</f>
        <v>1116.029081606579</v>
      </c>
    </row>
    <row r="16" spans="2:9" x14ac:dyDescent="0.25">
      <c r="B16" s="14"/>
      <c r="C16" s="17">
        <v>5</v>
      </c>
      <c r="D16" s="19" t="s">
        <v>16</v>
      </c>
      <c r="E16" s="285">
        <v>29860</v>
      </c>
      <c r="F16" s="286">
        <f>Installs!AS10</f>
        <v>590344</v>
      </c>
      <c r="G16" s="287">
        <f>'RES Gen'!AS6/1000</f>
        <v>264.80510174125288</v>
      </c>
      <c r="H16" s="287">
        <f>'RES Gen'!AS29/1000</f>
        <v>308.86433970028054</v>
      </c>
      <c r="I16" s="288">
        <f>(SUM('RES GWH Cum'!AT81:AT83)-(SUM('RES GWH Cum'!AT100:AT102)))/1000000</f>
        <v>11826.026909636306</v>
      </c>
    </row>
    <row r="17" spans="2:9" ht="15.75" thickBot="1" x14ac:dyDescent="0.3">
      <c r="B17" s="20"/>
      <c r="C17" s="21">
        <v>6</v>
      </c>
      <c r="D17" s="22" t="s">
        <v>17</v>
      </c>
      <c r="E17" s="289">
        <v>38412</v>
      </c>
      <c r="F17" s="290">
        <f>Installs!AS11</f>
        <v>51429</v>
      </c>
      <c r="G17" s="291">
        <f>'RES Gen'!AS15/1000</f>
        <v>18.434721880126638</v>
      </c>
      <c r="H17" s="291">
        <f>'RES Gen'!AS38/1000</f>
        <v>5.0821523452202779</v>
      </c>
      <c r="I17" s="292">
        <f>('RES GWH Cum'!AT87-'RES GWH Cum'!AT107)/1000000</f>
        <v>114.24785881381857</v>
      </c>
    </row>
    <row r="18" spans="2:9" x14ac:dyDescent="0.25">
      <c r="B18" s="23" t="s">
        <v>18</v>
      </c>
      <c r="C18" s="24"/>
      <c r="D18" s="24"/>
      <c r="E18" s="293"/>
      <c r="F18" s="294"/>
      <c r="G18" s="294"/>
      <c r="H18" s="294"/>
      <c r="I18" s="295"/>
    </row>
    <row r="19" spans="2:9" ht="16.5" x14ac:dyDescent="0.25">
      <c r="B19" s="14"/>
      <c r="C19" s="15">
        <v>7</v>
      </c>
      <c r="D19" s="16" t="s">
        <v>19</v>
      </c>
      <c r="E19" s="281">
        <v>33147</v>
      </c>
      <c r="F19" s="282">
        <f>Installs!AS62+Installs!AS63+Installs!AS64</f>
        <v>274707</v>
      </c>
      <c r="G19" s="283" t="s">
        <v>12</v>
      </c>
      <c r="H19" s="296" t="s">
        <v>12</v>
      </c>
      <c r="I19" s="297" t="s">
        <v>12</v>
      </c>
    </row>
    <row r="20" spans="2:9" x14ac:dyDescent="0.25">
      <c r="B20" s="14"/>
      <c r="C20" s="17">
        <v>8</v>
      </c>
      <c r="D20" s="19" t="s">
        <v>20</v>
      </c>
      <c r="E20" s="285">
        <v>36647</v>
      </c>
      <c r="F20" s="286">
        <f>Installs!AR71</f>
        <v>738</v>
      </c>
      <c r="G20" s="287">
        <f>DR!N13/1000</f>
        <v>414.173920590997</v>
      </c>
      <c r="H20" s="298">
        <f>DR!P13/1000</f>
        <v>266.35524833207018</v>
      </c>
      <c r="I20" s="288">
        <f>DR!S13/1000000</f>
        <v>48.043167442134902</v>
      </c>
    </row>
    <row r="21" spans="2:9" x14ac:dyDescent="0.25">
      <c r="B21" s="14"/>
      <c r="C21" s="17">
        <v>9</v>
      </c>
      <c r="D21" s="19" t="s">
        <v>21</v>
      </c>
      <c r="E21" s="285">
        <v>32234</v>
      </c>
      <c r="F21" s="286">
        <f>Installs!AR72</f>
        <v>324</v>
      </c>
      <c r="G21" s="287">
        <f>DR!N17/1000</f>
        <v>442.40232539534014</v>
      </c>
      <c r="H21" s="298">
        <f>DR!P17/1000</f>
        <v>375.865015655881</v>
      </c>
      <c r="I21" s="288">
        <f>DR!S17/1000000</f>
        <v>110.67597936800311</v>
      </c>
    </row>
    <row r="22" spans="2:9" x14ac:dyDescent="0.25">
      <c r="B22" s="14"/>
      <c r="C22" s="17">
        <v>10</v>
      </c>
      <c r="D22" s="25" t="s">
        <v>22</v>
      </c>
      <c r="E22" s="285">
        <v>34851</v>
      </c>
      <c r="F22" s="286">
        <f>Installs!AR70</f>
        <v>17178</v>
      </c>
      <c r="G22" s="287">
        <f>DR!J21/1000</f>
        <v>66.599999999999994</v>
      </c>
      <c r="H22" s="298">
        <v>0</v>
      </c>
      <c r="I22" s="288">
        <f>DR!M21/1000000</f>
        <v>1.7167101679083783</v>
      </c>
    </row>
    <row r="23" spans="2:9" x14ac:dyDescent="0.25">
      <c r="B23" s="14"/>
      <c r="C23" s="17">
        <v>11</v>
      </c>
      <c r="D23" s="19" t="s">
        <v>23</v>
      </c>
      <c r="E23" s="285">
        <v>32905</v>
      </c>
      <c r="F23" s="286">
        <f>Installs!AS16</f>
        <v>24199</v>
      </c>
      <c r="G23" s="287">
        <f>'BS Gen'!AS12/1000</f>
        <v>457.79188890758411</v>
      </c>
      <c r="H23" s="298">
        <f>'BS Gen'!AS26/1000</f>
        <v>118.50919116690267</v>
      </c>
      <c r="I23" s="288">
        <f>('BS Gen Cum'!AS79-'BS Gen Cum'!AS93)/1000000</f>
        <v>14345.681612426984</v>
      </c>
    </row>
    <row r="24" spans="2:9" x14ac:dyDescent="0.25">
      <c r="B24" s="14"/>
      <c r="C24" s="17">
        <v>12</v>
      </c>
      <c r="D24" s="25" t="s">
        <v>24</v>
      </c>
      <c r="E24" s="285">
        <v>30834</v>
      </c>
      <c r="F24" s="286">
        <f>Installs!AS17</f>
        <v>21463</v>
      </c>
      <c r="G24" s="287">
        <f>'BS Gen'!AS7/1000</f>
        <v>325.35122209407359</v>
      </c>
      <c r="H24" s="298">
        <f>'BS Gen'!AS21/1000</f>
        <v>202.40963707611058</v>
      </c>
      <c r="I24" s="288">
        <f>('BS Gen Cum'!AS74-'BS Gen Cum'!AS88)/1000000</f>
        <v>24368.27575264476</v>
      </c>
    </row>
    <row r="25" spans="2:9" ht="15.75" thickBot="1" x14ac:dyDescent="0.3">
      <c r="B25" s="20"/>
      <c r="C25" s="21">
        <v>13</v>
      </c>
      <c r="D25" s="22" t="s">
        <v>25</v>
      </c>
      <c r="E25" s="289">
        <v>34060</v>
      </c>
      <c r="F25" s="290">
        <f>Installs!AS18</f>
        <v>129</v>
      </c>
      <c r="G25" s="291">
        <f>'BS Gen'!AS10/1000</f>
        <v>54.800366221207369</v>
      </c>
      <c r="H25" s="299">
        <f>'BS Gen'!AS24/1000</f>
        <v>63.762375787315428</v>
      </c>
      <c r="I25" s="292">
        <f>('BS Gen Cum'!AS77-'BS Gen Cum'!AS91)/1000000</f>
        <v>4781.1586537530638</v>
      </c>
    </row>
    <row r="26" spans="2:9" ht="15.75" thickBot="1" x14ac:dyDescent="0.3">
      <c r="B26" s="1080" t="s">
        <v>26</v>
      </c>
      <c r="C26" s="1081"/>
      <c r="D26" s="1083"/>
      <c r="E26" s="26"/>
      <c r="F26" s="27">
        <f>SUM(F12:F25)</f>
        <v>8209208</v>
      </c>
      <c r="G26" s="28">
        <f t="shared" ref="G26:I26" si="0">SUM(G12:G25)</f>
        <v>4283.8992482911253</v>
      </c>
      <c r="H26" s="28">
        <f t="shared" si="0"/>
        <v>2593.3433592842812</v>
      </c>
      <c r="I26" s="29">
        <f t="shared" si="0"/>
        <v>89447.239593917227</v>
      </c>
    </row>
    <row r="27" spans="2:9" ht="15.75" thickBot="1" x14ac:dyDescent="0.3">
      <c r="E27" s="30"/>
    </row>
    <row r="28" spans="2:9" ht="18" thickBot="1" x14ac:dyDescent="0.3">
      <c r="B28" s="1080" t="s">
        <v>27</v>
      </c>
      <c r="C28" s="1081"/>
      <c r="D28" s="1083"/>
      <c r="E28" s="26"/>
      <c r="F28" s="300">
        <f>SUM('Res. Installs Discontinued'!AN12+'Res. Installs Discontinued'!AN16+'Res. Installs Discontinued'!AN17+'Res. Installs Discontinued'!AN18+'Res. Installs Discontinued'!AN19+'Res. Installs Discontinued'!AN20+'Res. Installs Discontinued'!AN21+'Res. Installs Discontinued'!AN22+'Res. Installs Discontinued'!AN23+'Res. Installs Discontinued'!AN24+'Res. Installs Discontinued'!AN25)+('BS Installs Discontinued'!AN9+'BS Installs Discontinued'!AN19+'BS Installs Discontinued'!AN20+'BS Installs Discontinued'!AN21+'BS Installs Discontinued'!AN22+'BS Installs Discontinued'!AN23+'BS Installs Discontinued'!AN24+'BS Installs Discontinued'!AN25)</f>
        <v>2295981</v>
      </c>
      <c r="G28" s="301">
        <f>+((('RES Gen'!AS24+'BS Gen'!AS16)/1000)+G13+G20+G21+G22)-G26+'Total Raw Data'!C38</f>
        <v>1295.2202279246201</v>
      </c>
      <c r="H28" s="301">
        <f>((('RES Gen'!AS47+'BS Gen'!AS30)/1000)+H13+H20+H21+H22)-H26+'Total Raw Data'!B38</f>
        <v>1118.5178426834018</v>
      </c>
      <c r="I28" s="302">
        <f>(('RES GWH Cum'!AT74-'RES GWH Cum'!AT204+'BS Gen Cum'!AS68-'BS Gen Cum'!AS177)/1000000)-I26+(I13+I20+I21+I22)+'Total Raw Data'!D38</f>
        <v>10974.300834414726</v>
      </c>
    </row>
    <row r="29" spans="2:9" ht="15.75" thickBot="1" x14ac:dyDescent="0.3">
      <c r="B29" s="1080" t="s">
        <v>28</v>
      </c>
      <c r="C29" s="1081"/>
      <c r="D29" s="1083"/>
      <c r="E29" s="26"/>
      <c r="F29" s="31">
        <f>F26+F28</f>
        <v>10505189</v>
      </c>
      <c r="G29" s="32">
        <f>G26+G28</f>
        <v>5579.1194762157456</v>
      </c>
      <c r="H29" s="32">
        <f t="shared" ref="H29:I29" si="1">H26+H28</f>
        <v>3711.861201967683</v>
      </c>
      <c r="I29" s="33">
        <f t="shared" si="1"/>
        <v>100421.54042833195</v>
      </c>
    </row>
    <row r="32" spans="2:9" x14ac:dyDescent="0.25">
      <c r="B32" s="34" t="s">
        <v>29</v>
      </c>
      <c r="C32" s="34"/>
    </row>
    <row r="33" spans="3:4" ht="18.95" customHeight="1" x14ac:dyDescent="0.25">
      <c r="C33" s="35" t="s">
        <v>30</v>
      </c>
      <c r="D33" s="36"/>
    </row>
    <row r="34" spans="3:4" ht="18.95" customHeight="1" x14ac:dyDescent="0.25">
      <c r="C34" s="35" t="s">
        <v>31</v>
      </c>
      <c r="D34" s="36"/>
    </row>
    <row r="35" spans="3:4" ht="18.95" customHeight="1" x14ac:dyDescent="0.25">
      <c r="C35" s="35" t="s">
        <v>32</v>
      </c>
      <c r="D35" s="37"/>
    </row>
  </sheetData>
  <mergeCells count="5">
    <mergeCell ref="F9:I9"/>
    <mergeCell ref="B10:D10"/>
    <mergeCell ref="B26:D26"/>
    <mergeCell ref="B28:D28"/>
    <mergeCell ref="B29:D29"/>
  </mergeCells>
  <printOptions horizontalCentered="1"/>
  <pageMargins left="0.2" right="0" top="0.7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E3BF-2747-4CB6-B3D3-3C9AD0FCB661}">
  <dimension ref="A1:E38"/>
  <sheetViews>
    <sheetView tabSelected="1" workbookViewId="0">
      <selection activeCell="B1" sqref="B1:C2"/>
    </sheetView>
  </sheetViews>
  <sheetFormatPr defaultColWidth="9.140625" defaultRowHeight="15" x14ac:dyDescent="0.25"/>
  <cols>
    <col min="1" max="1" width="9.7109375" style="1073" bestFit="1" customWidth="1"/>
    <col min="2" max="2" width="26.5703125" style="1073" bestFit="1" customWidth="1"/>
    <col min="3" max="3" width="27.85546875" style="1073" bestFit="1" customWidth="1"/>
    <col min="4" max="4" width="23.42578125" style="1073" bestFit="1" customWidth="1"/>
    <col min="5" max="5" width="58.140625" style="1073" bestFit="1" customWidth="1"/>
    <col min="6" max="16384" width="9.140625" style="1073"/>
  </cols>
  <sheetData>
    <row r="1" spans="1:4" x14ac:dyDescent="0.25">
      <c r="B1" s="1088" t="s">
        <v>526</v>
      </c>
      <c r="C1" s="1088"/>
    </row>
    <row r="2" spans="1:4" x14ac:dyDescent="0.25">
      <c r="B2" s="1088" t="s">
        <v>517</v>
      </c>
      <c r="C2" s="1088"/>
    </row>
    <row r="3" spans="1:4" x14ac:dyDescent="0.25">
      <c r="A3" s="1073" t="s">
        <v>506</v>
      </c>
    </row>
    <row r="6" spans="1:4" x14ac:dyDescent="0.25">
      <c r="B6" s="1087" t="s">
        <v>507</v>
      </c>
      <c r="C6" s="1087"/>
      <c r="D6" s="1087"/>
    </row>
    <row r="7" spans="1:4" x14ac:dyDescent="0.25">
      <c r="B7" s="1074" t="s">
        <v>508</v>
      </c>
      <c r="C7" s="1074" t="s">
        <v>509</v>
      </c>
      <c r="D7" s="1074" t="s">
        <v>510</v>
      </c>
    </row>
    <row r="8" spans="1:4" x14ac:dyDescent="0.25">
      <c r="A8" s="1073" t="s">
        <v>511</v>
      </c>
      <c r="B8" s="1075">
        <v>81.39</v>
      </c>
      <c r="C8" s="1075">
        <v>65.174000000000007</v>
      </c>
      <c r="D8" s="1075">
        <v>0</v>
      </c>
    </row>
    <row r="9" spans="1:4" x14ac:dyDescent="0.25">
      <c r="A9" s="1073" t="s">
        <v>512</v>
      </c>
      <c r="B9" s="1075">
        <v>141.36699999999999</v>
      </c>
      <c r="C9" s="1075">
        <v>78.055000000000007</v>
      </c>
      <c r="D9" s="1075">
        <v>0.19</v>
      </c>
    </row>
    <row r="10" spans="1:4" x14ac:dyDescent="0.25">
      <c r="A10" s="1073" t="s">
        <v>513</v>
      </c>
      <c r="B10" s="1075">
        <v>7.8000000000000007</v>
      </c>
      <c r="C10" s="1075">
        <v>15.5</v>
      </c>
      <c r="D10" s="1075">
        <v>42.815999999999995</v>
      </c>
    </row>
    <row r="11" spans="1:4" x14ac:dyDescent="0.25">
      <c r="A11" s="1073">
        <v>1995</v>
      </c>
      <c r="B11" s="1075">
        <v>1.85</v>
      </c>
      <c r="C11" s="1075">
        <v>10.78</v>
      </c>
      <c r="D11" s="1075">
        <v>0.71</v>
      </c>
    </row>
    <row r="12" spans="1:4" x14ac:dyDescent="0.25">
      <c r="A12" s="1073">
        <v>1996</v>
      </c>
      <c r="B12" s="1075">
        <v>4.09</v>
      </c>
      <c r="C12" s="1075">
        <v>26.66</v>
      </c>
      <c r="D12" s="1075">
        <v>4.9800000000000004</v>
      </c>
    </row>
    <row r="13" spans="1:4" x14ac:dyDescent="0.25">
      <c r="A13" s="1073">
        <v>1997</v>
      </c>
      <c r="B13" s="1075">
        <v>6.55</v>
      </c>
      <c r="C13" s="1075">
        <v>30.72</v>
      </c>
      <c r="D13" s="1075">
        <v>9.5</v>
      </c>
    </row>
    <row r="14" spans="1:4" x14ac:dyDescent="0.25">
      <c r="A14" s="1073">
        <v>1998</v>
      </c>
      <c r="B14" s="1075">
        <v>19.52</v>
      </c>
      <c r="C14" s="1075">
        <v>31.29</v>
      </c>
      <c r="D14" s="1075">
        <v>27.82</v>
      </c>
    </row>
    <row r="15" spans="1:4" x14ac:dyDescent="0.25">
      <c r="A15" s="1073">
        <v>1999</v>
      </c>
      <c r="B15" s="1075">
        <v>24.35586</v>
      </c>
      <c r="C15" s="1075">
        <v>36.309910000000002</v>
      </c>
      <c r="D15" s="1075">
        <v>44.312899999999992</v>
      </c>
    </row>
    <row r="16" spans="1:4" x14ac:dyDescent="0.25">
      <c r="A16" s="1073">
        <v>2000</v>
      </c>
      <c r="B16" s="1075">
        <v>16.66</v>
      </c>
      <c r="C16" s="1075">
        <v>23.28</v>
      </c>
      <c r="D16" s="1075">
        <v>11.25</v>
      </c>
    </row>
    <row r="17" spans="1:5" x14ac:dyDescent="0.25">
      <c r="A17" s="1073">
        <v>2001</v>
      </c>
      <c r="B17" s="1075">
        <v>10.420000000000002</v>
      </c>
      <c r="C17" s="1075">
        <v>10.520000000000003</v>
      </c>
      <c r="D17" s="1075">
        <v>9.6300000000000008</v>
      </c>
    </row>
    <row r="18" spans="1:5" x14ac:dyDescent="0.25">
      <c r="A18" s="1073">
        <v>2002</v>
      </c>
      <c r="B18" s="1075">
        <v>10.38</v>
      </c>
      <c r="C18" s="1075">
        <v>10.269999999999998</v>
      </c>
      <c r="D18" s="1075">
        <v>10.39</v>
      </c>
    </row>
    <row r="19" spans="1:5" x14ac:dyDescent="0.25">
      <c r="A19" s="1073">
        <v>2003</v>
      </c>
      <c r="B19" s="1075">
        <v>18.48</v>
      </c>
      <c r="C19" s="1075">
        <v>25.270000000000003</v>
      </c>
      <c r="D19" s="1075">
        <v>16.259999999999998</v>
      </c>
    </row>
    <row r="20" spans="1:5" x14ac:dyDescent="0.25">
      <c r="A20" s="1073">
        <v>2004</v>
      </c>
      <c r="B20" s="1075">
        <v>16.264172632899999</v>
      </c>
      <c r="C20" s="1075">
        <v>18.7208977469</v>
      </c>
      <c r="D20" s="1075">
        <v>12.198419055999999</v>
      </c>
    </row>
    <row r="21" spans="1:5" x14ac:dyDescent="0.25">
      <c r="A21" s="1073">
        <v>2005</v>
      </c>
      <c r="B21" s="1075">
        <v>12.138563701999999</v>
      </c>
      <c r="C21" s="1075">
        <v>18.718236574999999</v>
      </c>
      <c r="D21" s="1075">
        <v>19.273691249999999</v>
      </c>
    </row>
    <row r="22" spans="1:5" x14ac:dyDescent="0.25">
      <c r="A22" s="1073">
        <v>2006</v>
      </c>
      <c r="B22" s="1075">
        <v>13.897244961999998</v>
      </c>
      <c r="C22" s="1075">
        <v>12.2897576493</v>
      </c>
      <c r="D22" s="1075">
        <v>8.5413220400000007</v>
      </c>
    </row>
    <row r="23" spans="1:5" x14ac:dyDescent="0.25">
      <c r="A23" s="1073">
        <v>2007</v>
      </c>
      <c r="B23" s="1075">
        <v>13.787796159999999</v>
      </c>
      <c r="C23" s="1075">
        <v>10.212050071</v>
      </c>
      <c r="D23" s="1075">
        <v>10.288808790000001</v>
      </c>
    </row>
    <row r="24" spans="1:5" x14ac:dyDescent="0.25">
      <c r="A24" s="1073">
        <v>2008</v>
      </c>
      <c r="B24" s="1075">
        <v>6.2438858719999999</v>
      </c>
      <c r="C24" s="1075">
        <v>2.1499929235999993</v>
      </c>
      <c r="D24" s="1075">
        <v>7.7963452499999999</v>
      </c>
    </row>
    <row r="25" spans="1:5" x14ac:dyDescent="0.25">
      <c r="A25" s="1073">
        <v>2009</v>
      </c>
      <c r="B25" s="1075">
        <v>14.112923158000001</v>
      </c>
      <c r="C25" s="1075">
        <v>5.6145019629999995</v>
      </c>
      <c r="D25" s="1075">
        <v>20.143273430000001</v>
      </c>
    </row>
    <row r="26" spans="1:5" x14ac:dyDescent="0.25">
      <c r="A26" s="1073">
        <v>2010</v>
      </c>
      <c r="B26" s="1075">
        <v>6.2199999999999989</v>
      </c>
      <c r="C26" s="1075">
        <v>7.8400000000000007</v>
      </c>
      <c r="D26" s="1075">
        <v>8.5</v>
      </c>
    </row>
    <row r="27" spans="1:5" x14ac:dyDescent="0.25">
      <c r="A27" s="1073">
        <v>2011</v>
      </c>
      <c r="B27" s="1075">
        <v>11.129999999999999</v>
      </c>
      <c r="C27" s="1075">
        <v>12.969999999999999</v>
      </c>
      <c r="D27" s="1075">
        <v>40.47</v>
      </c>
      <c r="E27" s="1073" t="s">
        <v>514</v>
      </c>
    </row>
    <row r="28" spans="1:5" x14ac:dyDescent="0.25">
      <c r="A28" s="1073">
        <v>2012</v>
      </c>
      <c r="B28" s="1075">
        <v>27.123199999999994</v>
      </c>
      <c r="C28" s="1075">
        <v>33.8264</v>
      </c>
      <c r="D28" s="1075">
        <v>76.25</v>
      </c>
    </row>
    <row r="29" spans="1:5" x14ac:dyDescent="0.25">
      <c r="A29" s="1073">
        <v>2013</v>
      </c>
      <c r="B29" s="1075">
        <v>27.450000000000003</v>
      </c>
      <c r="C29" s="1075">
        <v>30.160000000000004</v>
      </c>
      <c r="D29" s="1075">
        <v>95.320000000000022</v>
      </c>
    </row>
    <row r="30" spans="1:5" x14ac:dyDescent="0.25">
      <c r="A30" s="1073">
        <v>2014</v>
      </c>
      <c r="B30" s="1075">
        <v>20.533300000000001</v>
      </c>
      <c r="C30" s="1075">
        <v>22.076599999999999</v>
      </c>
      <c r="D30" s="1075">
        <v>60.680000000000007</v>
      </c>
    </row>
    <row r="31" spans="1:5" x14ac:dyDescent="0.25">
      <c r="A31" s="1073">
        <v>2015</v>
      </c>
      <c r="B31" s="1075">
        <v>17.11</v>
      </c>
      <c r="C31" s="1075">
        <v>19.419999999999998</v>
      </c>
      <c r="D31" s="1075">
        <v>48.75</v>
      </c>
      <c r="E31" s="1073" t="s">
        <v>515</v>
      </c>
    </row>
    <row r="32" spans="1:5" x14ac:dyDescent="0.25">
      <c r="A32" s="1073">
        <v>2016</v>
      </c>
      <c r="B32" s="1075">
        <v>4.7699999999999996</v>
      </c>
      <c r="C32" s="1075">
        <v>5.3900000000000006</v>
      </c>
      <c r="D32" s="1075">
        <v>7.339999999999999</v>
      </c>
    </row>
    <row r="33" spans="1:4" x14ac:dyDescent="0.25">
      <c r="A33" s="1073">
        <v>2017</v>
      </c>
      <c r="B33" s="1075">
        <v>3.95</v>
      </c>
      <c r="C33" s="1075">
        <v>5.05</v>
      </c>
      <c r="D33" s="1075">
        <v>6.9399999999999995</v>
      </c>
    </row>
    <row r="34" spans="1:4" x14ac:dyDescent="0.25">
      <c r="A34" s="1073">
        <v>2018</v>
      </c>
      <c r="B34" s="1075">
        <v>1.97</v>
      </c>
      <c r="C34" s="1075">
        <v>2.6399999999999997</v>
      </c>
      <c r="D34" s="1075">
        <v>5.24</v>
      </c>
    </row>
    <row r="35" spans="1:4" x14ac:dyDescent="0.25">
      <c r="A35" s="1073">
        <v>2019</v>
      </c>
      <c r="B35" s="1075">
        <v>1.8827</v>
      </c>
      <c r="C35" s="1075">
        <v>3.0700000000000003</v>
      </c>
      <c r="D35" s="1075">
        <v>4.8899999999999997</v>
      </c>
    </row>
    <row r="36" spans="1:4" x14ac:dyDescent="0.25">
      <c r="A36" s="1073">
        <v>2020</v>
      </c>
      <c r="B36" s="1075">
        <v>1.1401246838000001</v>
      </c>
      <c r="C36" s="1075">
        <v>2.5896694208000004</v>
      </c>
      <c r="D36" s="1075">
        <v>4.3262077956959999</v>
      </c>
    </row>
    <row r="37" spans="1:4" x14ac:dyDescent="0.25">
      <c r="A37" s="1073">
        <v>2021</v>
      </c>
      <c r="B37" s="1075">
        <v>1.1453966086469134</v>
      </c>
      <c r="C37" s="1075">
        <v>1.3615113365500002</v>
      </c>
      <c r="D37" s="1075">
        <v>4.0071065718764265</v>
      </c>
    </row>
    <row r="38" spans="1:4" x14ac:dyDescent="0.25">
      <c r="B38" s="1076">
        <f>SUM(B8:B37)</f>
        <v>543.73216777934704</v>
      </c>
      <c r="C38" s="1076">
        <f>SUM(C8:C37)</f>
        <v>577.92852768614989</v>
      </c>
      <c r="D38" s="1076">
        <f>SUM(D8:D37)</f>
        <v>618.81407418357242</v>
      </c>
    </row>
  </sheetData>
  <mergeCells count="1">
    <mergeCell ref="B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6EFF-A77C-4854-81B7-8DA9681247EF}">
  <sheetPr>
    <pageSetUpPr fitToPage="1"/>
  </sheetPr>
  <dimension ref="A1:AT72"/>
  <sheetViews>
    <sheetView zoomScale="85" zoomScaleNormal="85" workbookViewId="0">
      <pane xSplit="1" ySplit="4" topLeftCell="B5" activePane="bottomRight" state="frozen"/>
      <selection activeCell="B1" sqref="B1:C2"/>
      <selection pane="topRight" activeCell="B1" sqref="B1:C2"/>
      <selection pane="bottomLeft" activeCell="B1" sqref="B1:C2"/>
      <selection pane="bottomRight" activeCell="B1" sqref="B1:C2"/>
    </sheetView>
  </sheetViews>
  <sheetFormatPr defaultColWidth="9.140625" defaultRowHeight="11.25" x14ac:dyDescent="0.2"/>
  <cols>
    <col min="1" max="1" width="21.7109375" style="307" customWidth="1"/>
    <col min="2" max="2" width="10.28515625" style="307" bestFit="1" customWidth="1"/>
    <col min="3" max="5" width="12.140625" style="307" bestFit="1" customWidth="1"/>
    <col min="6" max="7" width="12.42578125" style="307" bestFit="1" customWidth="1"/>
    <col min="8" max="8" width="11.85546875" style="307" bestFit="1" customWidth="1"/>
    <col min="9" max="9" width="12.140625" style="307" bestFit="1" customWidth="1"/>
    <col min="10" max="11" width="12.42578125" style="307" bestFit="1" customWidth="1"/>
    <col min="12" max="14" width="12.140625" style="307" bestFit="1" customWidth="1"/>
    <col min="15" max="16" width="12.5703125" style="307" bestFit="1" customWidth="1"/>
    <col min="17" max="18" width="13.140625" style="307" bestFit="1" customWidth="1"/>
    <col min="19" max="20" width="12.85546875" style="307" bestFit="1" customWidth="1"/>
    <col min="21" max="21" width="12.5703125" style="307" bestFit="1" customWidth="1"/>
    <col min="22" max="22" width="12.85546875" style="307" bestFit="1" customWidth="1"/>
    <col min="23" max="23" width="13.140625" style="307" bestFit="1" customWidth="1"/>
    <col min="24" max="27" width="13.42578125" style="307" bestFit="1" customWidth="1"/>
    <col min="28" max="32" width="13.42578125" style="310" bestFit="1" customWidth="1"/>
    <col min="33" max="33" width="13.140625" style="310" bestFit="1" customWidth="1"/>
    <col min="34" max="34" width="12.85546875" style="400" bestFit="1" customWidth="1"/>
    <col min="35" max="36" width="13.140625" style="400" bestFit="1" customWidth="1"/>
    <col min="37" max="42" width="12.5703125" style="400" bestFit="1" customWidth="1"/>
    <col min="43" max="44" width="12.5703125" style="400" customWidth="1"/>
    <col min="45" max="45" width="16.7109375" style="38" bestFit="1" customWidth="1"/>
    <col min="46" max="46" width="15.28515625" style="307" customWidth="1"/>
    <col min="47" max="16384" width="9.140625" style="307"/>
  </cols>
  <sheetData>
    <row r="1" spans="1:46" ht="12.75" x14ac:dyDescent="0.2">
      <c r="A1" s="1090" t="s">
        <v>518</v>
      </c>
      <c r="B1" s="1089"/>
      <c r="C1" s="1088"/>
    </row>
    <row r="2" spans="1:46" ht="13.5" thickBot="1" x14ac:dyDescent="0.25">
      <c r="A2" s="1090" t="s">
        <v>517</v>
      </c>
      <c r="B2" s="1089"/>
      <c r="C2" s="1088"/>
    </row>
    <row r="3" spans="1:46" ht="15.75" thickBot="1" x14ac:dyDescent="0.3">
      <c r="A3" s="1084" t="s">
        <v>33</v>
      </c>
      <c r="B3" s="1085"/>
      <c r="C3" s="1086"/>
      <c r="E3" s="308"/>
      <c r="AB3" s="309"/>
      <c r="AE3" s="311">
        <v>0.91420000000000001</v>
      </c>
      <c r="AF3" s="312">
        <v>0.90900000000000003</v>
      </c>
      <c r="AG3" s="311">
        <v>1.0881000000000001</v>
      </c>
      <c r="AH3" s="313">
        <v>1.07935</v>
      </c>
      <c r="AI3" s="313">
        <v>1.07782</v>
      </c>
      <c r="AJ3" s="313">
        <v>1.07613</v>
      </c>
      <c r="AK3" s="313">
        <v>1.0699700000000001</v>
      </c>
      <c r="AL3" s="313">
        <v>1.06063</v>
      </c>
      <c r="AM3" s="313">
        <v>1.0613999999999999</v>
      </c>
      <c r="AN3" s="313">
        <v>1.0653999999999999</v>
      </c>
      <c r="AO3" s="313">
        <v>1.0603</v>
      </c>
      <c r="AP3" s="313">
        <v>1.0642</v>
      </c>
      <c r="AQ3" s="313">
        <v>1.0687</v>
      </c>
      <c r="AR3" s="313">
        <v>1.0649999999999999</v>
      </c>
    </row>
    <row r="4" spans="1:46" s="310" customFormat="1" ht="45.75" thickBot="1" x14ac:dyDescent="0.25">
      <c r="A4" s="314" t="s">
        <v>34</v>
      </c>
      <c r="B4" s="315">
        <v>1981</v>
      </c>
      <c r="C4" s="315">
        <v>1982</v>
      </c>
      <c r="D4" s="316">
        <v>1983</v>
      </c>
      <c r="E4" s="316">
        <v>1984</v>
      </c>
      <c r="F4" s="316">
        <v>1985</v>
      </c>
      <c r="G4" s="316">
        <v>1986</v>
      </c>
      <c r="H4" s="316">
        <v>1987</v>
      </c>
      <c r="I4" s="316">
        <v>1988</v>
      </c>
      <c r="J4" s="316">
        <v>1989</v>
      </c>
      <c r="K4" s="317" t="s">
        <v>35</v>
      </c>
      <c r="L4" s="316" t="s">
        <v>36</v>
      </c>
      <c r="M4" s="316">
        <v>1992</v>
      </c>
      <c r="N4" s="316">
        <v>1993</v>
      </c>
      <c r="O4" s="316">
        <v>1994</v>
      </c>
      <c r="P4" s="316">
        <v>1995</v>
      </c>
      <c r="Q4" s="316">
        <v>1996</v>
      </c>
      <c r="R4" s="316">
        <v>1997</v>
      </c>
      <c r="S4" s="316">
        <v>1998</v>
      </c>
      <c r="T4" s="316">
        <v>1999</v>
      </c>
      <c r="U4" s="316">
        <v>2000</v>
      </c>
      <c r="V4" s="318">
        <v>2001</v>
      </c>
      <c r="W4" s="316">
        <v>2002</v>
      </c>
      <c r="X4" s="316">
        <v>2003</v>
      </c>
      <c r="Y4" s="318">
        <v>2004</v>
      </c>
      <c r="Z4" s="318">
        <v>2005</v>
      </c>
      <c r="AA4" s="317">
        <v>2006</v>
      </c>
      <c r="AB4" s="319">
        <v>2007</v>
      </c>
      <c r="AC4" s="320" t="s">
        <v>37</v>
      </c>
      <c r="AD4" s="320" t="s">
        <v>38</v>
      </c>
      <c r="AE4" s="320" t="s">
        <v>39</v>
      </c>
      <c r="AF4" s="320" t="s">
        <v>40</v>
      </c>
      <c r="AG4" s="320" t="s">
        <v>41</v>
      </c>
      <c r="AH4" s="321" t="s">
        <v>42</v>
      </c>
      <c r="AI4" s="321" t="s">
        <v>43</v>
      </c>
      <c r="AJ4" s="321" t="s">
        <v>44</v>
      </c>
      <c r="AK4" s="321" t="s">
        <v>45</v>
      </c>
      <c r="AL4" s="321" t="s">
        <v>46</v>
      </c>
      <c r="AM4" s="321" t="s">
        <v>47</v>
      </c>
      <c r="AN4" s="321" t="s">
        <v>48</v>
      </c>
      <c r="AO4" s="321" t="s">
        <v>49</v>
      </c>
      <c r="AP4" s="321" t="s">
        <v>50</v>
      </c>
      <c r="AQ4" s="321" t="s">
        <v>51</v>
      </c>
      <c r="AR4" s="321" t="s">
        <v>52</v>
      </c>
      <c r="AS4" s="322" t="s">
        <v>53</v>
      </c>
    </row>
    <row r="5" spans="1:46" ht="12" thickBot="1" x14ac:dyDescent="0.25">
      <c r="A5" s="323" t="s">
        <v>54</v>
      </c>
      <c r="B5" s="58"/>
      <c r="C5" s="58"/>
      <c r="D5" s="57"/>
      <c r="E5" s="57"/>
      <c r="F5" s="57"/>
      <c r="G5" s="57"/>
      <c r="H5" s="57"/>
      <c r="I5" s="57"/>
      <c r="J5" s="58"/>
      <c r="K5" s="324"/>
      <c r="L5" s="57"/>
      <c r="M5" s="61"/>
      <c r="N5" s="61"/>
      <c r="O5" s="61"/>
      <c r="P5" s="61"/>
      <c r="Q5" s="61"/>
      <c r="R5" s="61"/>
      <c r="S5" s="61">
        <v>267</v>
      </c>
      <c r="T5" s="61">
        <v>327</v>
      </c>
      <c r="U5" s="61">
        <v>666</v>
      </c>
      <c r="V5" s="60">
        <v>1151</v>
      </c>
      <c r="W5" s="61">
        <v>1197</v>
      </c>
      <c r="X5" s="61">
        <v>1612</v>
      </c>
      <c r="Y5" s="60">
        <v>2153.1557422349952</v>
      </c>
      <c r="Z5" s="60">
        <v>2595.6670719575554</v>
      </c>
      <c r="AA5" s="214">
        <v>4638.9189786669613</v>
      </c>
      <c r="AB5" s="215">
        <v>5235.3</v>
      </c>
      <c r="AC5" s="216">
        <v>2866.7</v>
      </c>
      <c r="AD5" s="217">
        <v>1938.5920735712718</v>
      </c>
      <c r="AE5" s="216">
        <v>2234.8829577772917</v>
      </c>
      <c r="AF5" s="216">
        <v>2747.271727172717</v>
      </c>
      <c r="AG5" s="216">
        <v>3134.8</v>
      </c>
      <c r="AH5" s="218">
        <v>2012.3185530000001</v>
      </c>
      <c r="AI5" s="218">
        <v>2963.5415373999999</v>
      </c>
      <c r="AJ5" s="218">
        <v>2675.4</v>
      </c>
      <c r="AK5" s="218">
        <v>1211.9443193000002</v>
      </c>
      <c r="AL5" s="218">
        <v>1005.3075391999997</v>
      </c>
      <c r="AM5" s="218">
        <v>1315.255038</v>
      </c>
      <c r="AN5" s="218">
        <v>1343.3735139999999</v>
      </c>
      <c r="AO5" s="218">
        <v>1323.180179</v>
      </c>
      <c r="AP5" s="218">
        <v>1420.2706779999999</v>
      </c>
      <c r="AQ5" s="218">
        <v>1766.2511770000001</v>
      </c>
      <c r="AR5" s="219">
        <v>1362.6694464</v>
      </c>
      <c r="AS5" s="325">
        <f>SUM(B5:AR5)</f>
        <v>51164.800532680798</v>
      </c>
      <c r="AT5" s="326">
        <v>0</v>
      </c>
    </row>
    <row r="6" spans="1:46" s="310" customFormat="1" x14ac:dyDescent="0.2">
      <c r="A6" s="327" t="s">
        <v>55</v>
      </c>
      <c r="B6" s="328">
        <f>SUM(B7:B9)</f>
        <v>71.294351718801821</v>
      </c>
      <c r="C6" s="328">
        <f t="shared" ref="C6:AC6" si="0">SUM(C7:C9)</f>
        <v>2889.9082568807339</v>
      </c>
      <c r="D6" s="328">
        <f t="shared" si="0"/>
        <v>3937.7694263291701</v>
      </c>
      <c r="E6" s="328">
        <f t="shared" si="0"/>
        <v>13813.065104454516</v>
      </c>
      <c r="F6" s="328">
        <f t="shared" si="0"/>
        <v>18386.382226152316</v>
      </c>
      <c r="G6" s="328">
        <f t="shared" si="0"/>
        <v>17722.051508787445</v>
      </c>
      <c r="H6" s="328">
        <f t="shared" si="0"/>
        <v>16644.080910799163</v>
      </c>
      <c r="I6" s="328">
        <f t="shared" si="0"/>
        <v>12838.952138830555</v>
      </c>
      <c r="J6" s="328">
        <f t="shared" si="0"/>
        <v>9974.8093290593588</v>
      </c>
      <c r="K6" s="328">
        <f t="shared" si="0"/>
        <v>11112.766662982205</v>
      </c>
      <c r="L6" s="328">
        <f t="shared" si="0"/>
        <v>5675.4283187797064</v>
      </c>
      <c r="M6" s="328">
        <f t="shared" si="0"/>
        <v>7769.271581739803</v>
      </c>
      <c r="N6" s="328">
        <f t="shared" si="0"/>
        <v>4501.2379794406988</v>
      </c>
      <c r="O6" s="328">
        <f t="shared" si="0"/>
        <v>3652</v>
      </c>
      <c r="P6" s="328">
        <f t="shared" si="0"/>
        <v>3652</v>
      </c>
      <c r="Q6" s="328">
        <f t="shared" si="0"/>
        <v>11874</v>
      </c>
      <c r="R6" s="328">
        <f t="shared" si="0"/>
        <v>16562</v>
      </c>
      <c r="S6" s="66">
        <f t="shared" si="0"/>
        <v>8779</v>
      </c>
      <c r="T6" s="66">
        <f t="shared" si="0"/>
        <v>3576</v>
      </c>
      <c r="U6" s="66">
        <f t="shared" si="0"/>
        <v>3052</v>
      </c>
      <c r="V6" s="66">
        <f t="shared" si="0"/>
        <v>6277</v>
      </c>
      <c r="W6" s="66">
        <f t="shared" si="0"/>
        <v>7274</v>
      </c>
      <c r="X6" s="66">
        <f t="shared" si="0"/>
        <v>4322</v>
      </c>
      <c r="Y6" s="66">
        <f t="shared" si="0"/>
        <v>2190</v>
      </c>
      <c r="Z6" s="66">
        <f t="shared" si="0"/>
        <v>1171</v>
      </c>
      <c r="AA6" s="66">
        <f t="shared" si="0"/>
        <v>1321.3759920415607</v>
      </c>
      <c r="AB6" s="66">
        <f t="shared" si="0"/>
        <v>6937.2831702759158</v>
      </c>
      <c r="AC6" s="66">
        <f t="shared" si="0"/>
        <v>22774.203905991391</v>
      </c>
      <c r="AD6" s="66">
        <v>6070.9</v>
      </c>
      <c r="AE6" s="66">
        <v>5341.649529643405</v>
      </c>
      <c r="AF6" s="66">
        <v>5264.5924092409241</v>
      </c>
      <c r="AG6" s="66">
        <f>SUM(AG7:AG9)</f>
        <v>3395.3126805000006</v>
      </c>
      <c r="AH6" s="329">
        <f>+AH7+AH8+AH9</f>
        <v>2407.5995414339691</v>
      </c>
      <c r="AI6" s="329">
        <f>+AI7+AI8+AI9</f>
        <v>2576.8278050499994</v>
      </c>
      <c r="AJ6" s="329">
        <f>+AJ7+AJ8+AJ9</f>
        <v>2603.5</v>
      </c>
      <c r="AK6" s="329">
        <f t="shared" ref="AK6:AR6" si="1">+AK7+AK8+AK9</f>
        <v>982.27618310120249</v>
      </c>
      <c r="AL6" s="329">
        <f t="shared" si="1"/>
        <v>1004.93525807</v>
      </c>
      <c r="AM6" s="329">
        <f t="shared" si="1"/>
        <v>999.86533499999985</v>
      </c>
      <c r="AN6" s="329">
        <f t="shared" si="1"/>
        <v>1111.3123475999957</v>
      </c>
      <c r="AO6" s="329">
        <f t="shared" si="1"/>
        <v>436.29701534999901</v>
      </c>
      <c r="AP6" s="329">
        <f t="shared" si="1"/>
        <v>456.91639839999937</v>
      </c>
      <c r="AQ6" s="329">
        <f t="shared" si="1"/>
        <v>1194.3171353999971</v>
      </c>
      <c r="AR6" s="330">
        <f t="shared" si="1"/>
        <v>2207.9192381999947</v>
      </c>
      <c r="AS6" s="331">
        <f t="shared" ref="AS6:AS24" si="2">SUM(B6:AR6)</f>
        <v>264805.10174125287</v>
      </c>
      <c r="AT6" s="332"/>
    </row>
    <row r="7" spans="1:46" x14ac:dyDescent="0.2">
      <c r="A7" s="333" t="s">
        <v>16</v>
      </c>
      <c r="B7" s="49">
        <v>71.294351718801821</v>
      </c>
      <c r="C7" s="49">
        <v>2889.9082568807339</v>
      </c>
      <c r="D7" s="49">
        <v>3937.7694263291701</v>
      </c>
      <c r="E7" s="49">
        <v>13813.065104454516</v>
      </c>
      <c r="F7" s="49">
        <v>18386.382226152316</v>
      </c>
      <c r="G7" s="49">
        <v>17722.051508787445</v>
      </c>
      <c r="H7" s="49">
        <v>16644.080910799163</v>
      </c>
      <c r="I7" s="49">
        <v>12838.952138830555</v>
      </c>
      <c r="J7" s="49">
        <v>9974.8093290593588</v>
      </c>
      <c r="K7" s="49">
        <v>11112.766662982205</v>
      </c>
      <c r="L7" s="49">
        <v>5675.4283187797064</v>
      </c>
      <c r="M7" s="49">
        <v>7769.271581739803</v>
      </c>
      <c r="N7" s="49">
        <v>4501.2379794406988</v>
      </c>
      <c r="O7" s="49">
        <v>3652</v>
      </c>
      <c r="P7" s="49">
        <v>3652</v>
      </c>
      <c r="Q7" s="49">
        <v>11874</v>
      </c>
      <c r="R7" s="220">
        <v>16562</v>
      </c>
      <c r="S7" s="50">
        <v>8779</v>
      </c>
      <c r="T7" s="50">
        <v>3576</v>
      </c>
      <c r="U7" s="50">
        <v>3052</v>
      </c>
      <c r="V7" s="50">
        <v>6277</v>
      </c>
      <c r="W7" s="221">
        <v>7274</v>
      </c>
      <c r="X7" s="221">
        <v>4322</v>
      </c>
      <c r="Y7" s="221">
        <v>2190</v>
      </c>
      <c r="Z7" s="221">
        <v>1171</v>
      </c>
      <c r="AA7" s="221">
        <v>1110.1691168343098</v>
      </c>
      <c r="AB7" s="221">
        <v>2478.7072661316924</v>
      </c>
      <c r="AC7" s="222">
        <v>2118.3493324506235</v>
      </c>
      <c r="AD7" s="222">
        <v>1848</v>
      </c>
      <c r="AE7" s="222">
        <v>2373.4412601181361</v>
      </c>
      <c r="AF7" s="222">
        <v>2308.7849284928493</v>
      </c>
      <c r="AG7" s="222">
        <v>1500.2</v>
      </c>
      <c r="AH7" s="223">
        <v>1206.3927330500001</v>
      </c>
      <c r="AI7" s="223">
        <v>1372.4900599899995</v>
      </c>
      <c r="AJ7" s="223">
        <v>1696.3</v>
      </c>
      <c r="AK7" s="223">
        <v>970.00367000000244</v>
      </c>
      <c r="AL7" s="223">
        <v>1004.93525807</v>
      </c>
      <c r="AM7" s="223">
        <v>999.86533499999985</v>
      </c>
      <c r="AN7" s="223">
        <v>1111.3123475999957</v>
      </c>
      <c r="AO7" s="223">
        <v>436.29701534999901</v>
      </c>
      <c r="AP7" s="223">
        <v>456.91639839999937</v>
      </c>
      <c r="AQ7" s="223">
        <v>1194.3171353999971</v>
      </c>
      <c r="AR7" s="224">
        <v>2207.9192381999947</v>
      </c>
      <c r="AS7" s="334">
        <f t="shared" si="2"/>
        <v>224112.41889104209</v>
      </c>
      <c r="AT7" s="332"/>
    </row>
    <row r="8" spans="1:46" x14ac:dyDescent="0.2">
      <c r="A8" s="333" t="s">
        <v>56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50"/>
      <c r="U8" s="50"/>
      <c r="V8" s="50"/>
      <c r="W8" s="221"/>
      <c r="X8" s="221"/>
      <c r="Y8" s="221"/>
      <c r="Z8" s="221"/>
      <c r="AA8" s="221"/>
      <c r="AB8" s="221">
        <v>4310.9585577662965</v>
      </c>
      <c r="AC8" s="222">
        <v>20456.891757696125</v>
      </c>
      <c r="AD8" s="222">
        <v>4013.5</v>
      </c>
      <c r="AE8" s="222">
        <v>2602.2489608400792</v>
      </c>
      <c r="AF8" s="222">
        <v>2661.2530253025302</v>
      </c>
      <c r="AG8" s="222">
        <v>1591.4026805000005</v>
      </c>
      <c r="AH8" s="223">
        <v>917.25141038396896</v>
      </c>
      <c r="AI8" s="223">
        <v>840.29002839999987</v>
      </c>
      <c r="AJ8" s="223">
        <v>499.3</v>
      </c>
      <c r="AK8" s="223">
        <v>12.272513101200001</v>
      </c>
      <c r="AL8" s="223"/>
      <c r="AM8" s="223"/>
      <c r="AN8" s="223"/>
      <c r="AO8" s="223"/>
      <c r="AP8" s="223"/>
      <c r="AQ8" s="223"/>
      <c r="AR8" s="224"/>
      <c r="AS8" s="334">
        <f t="shared" si="2"/>
        <v>37905.368933990205</v>
      </c>
      <c r="AT8" s="332"/>
    </row>
    <row r="9" spans="1:46" ht="12" thickBot="1" x14ac:dyDescent="0.25">
      <c r="A9" s="335" t="s">
        <v>57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54"/>
      <c r="T9" s="54"/>
      <c r="U9" s="54"/>
      <c r="V9" s="54"/>
      <c r="W9" s="225"/>
      <c r="X9" s="225"/>
      <c r="Y9" s="225"/>
      <c r="Z9" s="225"/>
      <c r="AA9" s="225">
        <v>211.20687520725104</v>
      </c>
      <c r="AB9" s="225">
        <v>147.61734637792679</v>
      </c>
      <c r="AC9" s="226">
        <v>198.96281584464307</v>
      </c>
      <c r="AD9" s="226">
        <v>209.4</v>
      </c>
      <c r="AE9" s="226">
        <v>365.95930868518923</v>
      </c>
      <c r="AF9" s="226">
        <v>294.55445544554453</v>
      </c>
      <c r="AG9" s="226">
        <v>303.70999999999998</v>
      </c>
      <c r="AH9" s="227">
        <v>283.95539800000006</v>
      </c>
      <c r="AI9" s="227">
        <v>364.04771665999988</v>
      </c>
      <c r="AJ9" s="227">
        <v>407.9</v>
      </c>
      <c r="AK9" s="227"/>
      <c r="AL9" s="227"/>
      <c r="AM9" s="227"/>
      <c r="AN9" s="227"/>
      <c r="AO9" s="227"/>
      <c r="AP9" s="227"/>
      <c r="AQ9" s="227"/>
      <c r="AR9" s="228"/>
      <c r="AS9" s="336">
        <f t="shared" si="2"/>
        <v>2787.3139162205548</v>
      </c>
      <c r="AT9" s="332"/>
    </row>
    <row r="10" spans="1:46" ht="12" thickBot="1" x14ac:dyDescent="0.25">
      <c r="A10" s="337" t="s">
        <v>58</v>
      </c>
      <c r="B10" s="229">
        <v>24.052171990715156</v>
      </c>
      <c r="C10" s="229">
        <v>1400.2873880844481</v>
      </c>
      <c r="D10" s="229">
        <v>2589.9303636564609</v>
      </c>
      <c r="E10" s="229">
        <v>6023.6542500276346</v>
      </c>
      <c r="F10" s="229">
        <v>7576.0804686636457</v>
      </c>
      <c r="G10" s="229">
        <v>7167.1935448214881</v>
      </c>
      <c r="H10" s="229">
        <v>6831.8779705979887</v>
      </c>
      <c r="I10" s="229">
        <v>6475.693600088428</v>
      </c>
      <c r="J10" s="229">
        <v>7228.0313916215318</v>
      </c>
      <c r="K10" s="229">
        <v>7303.7249917099598</v>
      </c>
      <c r="L10" s="229">
        <v>2781.4855753288389</v>
      </c>
      <c r="M10" s="229">
        <v>2467.226704985078</v>
      </c>
      <c r="N10" s="229">
        <v>2278.5453741571796</v>
      </c>
      <c r="O10" s="229">
        <v>2196.4187023322652</v>
      </c>
      <c r="P10" s="229">
        <v>2036</v>
      </c>
      <c r="Q10" s="229"/>
      <c r="R10" s="229"/>
      <c r="S10" s="43"/>
      <c r="T10" s="43"/>
      <c r="U10" s="43"/>
      <c r="V10" s="43"/>
      <c r="W10" s="338"/>
      <c r="X10" s="338"/>
      <c r="Y10" s="338"/>
      <c r="Z10" s="338"/>
      <c r="AA10" s="338"/>
      <c r="AB10" s="338"/>
      <c r="AC10" s="235"/>
      <c r="AD10" s="235"/>
      <c r="AE10" s="235"/>
      <c r="AF10" s="235"/>
      <c r="AG10" s="235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9"/>
      <c r="AS10" s="325">
        <f t="shared" si="2"/>
        <v>64380.202498065664</v>
      </c>
      <c r="AT10" s="339"/>
    </row>
    <row r="11" spans="1:46" ht="12" thickBot="1" x14ac:dyDescent="0.25">
      <c r="A11" s="340" t="s">
        <v>59</v>
      </c>
      <c r="B11" s="229"/>
      <c r="C11" s="229">
        <v>18569.691610478614</v>
      </c>
      <c r="D11" s="229">
        <v>22790.471979661768</v>
      </c>
      <c r="E11" s="229">
        <v>34227.677683209906</v>
      </c>
      <c r="F11" s="229">
        <v>42540.599093622201</v>
      </c>
      <c r="G11" s="229">
        <v>52087.277550569255</v>
      </c>
      <c r="H11" s="229">
        <v>46197.347186912797</v>
      </c>
      <c r="I11" s="229">
        <v>9786.8685752183046</v>
      </c>
      <c r="J11" s="229">
        <v>0</v>
      </c>
      <c r="K11" s="229">
        <v>0</v>
      </c>
      <c r="L11" s="229">
        <v>4682.8893555874874</v>
      </c>
      <c r="M11" s="229">
        <v>8438.7531778490102</v>
      </c>
      <c r="N11" s="229">
        <v>13261.081021333039</v>
      </c>
      <c r="O11" s="229">
        <v>15114.811539736929</v>
      </c>
      <c r="P11" s="229">
        <v>18138</v>
      </c>
      <c r="Q11" s="229">
        <v>48898</v>
      </c>
      <c r="R11" s="229">
        <v>63218</v>
      </c>
      <c r="S11" s="229">
        <v>66913</v>
      </c>
      <c r="T11" s="229">
        <v>56728</v>
      </c>
      <c r="U11" s="229">
        <v>46692</v>
      </c>
      <c r="V11" s="229">
        <v>40642</v>
      </c>
      <c r="W11" s="229">
        <v>42954</v>
      </c>
      <c r="X11" s="229">
        <v>34132</v>
      </c>
      <c r="Y11" s="229">
        <v>40450.116060572567</v>
      </c>
      <c r="Z11" s="43">
        <v>42046.424229026197</v>
      </c>
      <c r="AA11" s="43">
        <v>44304.520835636125</v>
      </c>
      <c r="AB11" s="43">
        <v>17148.8</v>
      </c>
      <c r="AC11" s="230">
        <v>30651.8</v>
      </c>
      <c r="AD11" s="230">
        <v>44482.86621414496</v>
      </c>
      <c r="AE11" s="230">
        <v>74372.609932181149</v>
      </c>
      <c r="AF11" s="230">
        <v>89396.277227722763</v>
      </c>
      <c r="AG11" s="230">
        <v>62216.176113000001</v>
      </c>
      <c r="AH11" s="218">
        <v>59213.033065000003</v>
      </c>
      <c r="AI11" s="218">
        <v>69592.681760000007</v>
      </c>
      <c r="AJ11" s="218">
        <v>42461.2</v>
      </c>
      <c r="AK11" s="218">
        <v>8340.8556399999288</v>
      </c>
      <c r="AL11" s="218">
        <v>8335.1517683999991</v>
      </c>
      <c r="AM11" s="218">
        <v>7301.1583199999995</v>
      </c>
      <c r="AN11" s="218">
        <v>6554.937423999977</v>
      </c>
      <c r="AO11" s="218">
        <v>6599.8797619999696</v>
      </c>
      <c r="AP11" s="218">
        <v>5991.2331599999607</v>
      </c>
      <c r="AQ11" s="218">
        <v>7783.2993519997499</v>
      </c>
      <c r="AR11" s="231">
        <v>3993.4112899998936</v>
      </c>
      <c r="AS11" s="341">
        <f t="shared" si="2"/>
        <v>1357248.9009278629</v>
      </c>
      <c r="AT11" s="332"/>
    </row>
    <row r="12" spans="1:46" s="310" customFormat="1" x14ac:dyDescent="0.2">
      <c r="A12" s="327" t="s">
        <v>60</v>
      </c>
      <c r="B12" s="328"/>
      <c r="C12" s="328"/>
      <c r="D12" s="328"/>
      <c r="E12" s="328">
        <f t="shared" ref="E12:AD12" si="3">+E13+E14</f>
        <v>4764.8060130429985</v>
      </c>
      <c r="F12" s="328">
        <f t="shared" si="3"/>
        <v>7271.3606720459829</v>
      </c>
      <c r="G12" s="328">
        <f t="shared" si="3"/>
        <v>11365.181828230354</v>
      </c>
      <c r="H12" s="328">
        <f t="shared" si="3"/>
        <v>16050.757157068643</v>
      </c>
      <c r="I12" s="328">
        <f t="shared" si="3"/>
        <v>12349.552337791532</v>
      </c>
      <c r="J12" s="328">
        <f t="shared" si="3"/>
        <v>13212.424007958442</v>
      </c>
      <c r="K12" s="328">
        <f t="shared" si="3"/>
        <v>14743.804576102577</v>
      </c>
      <c r="L12" s="328">
        <f t="shared" si="3"/>
        <v>4857.0354813750419</v>
      </c>
      <c r="M12" s="328">
        <f t="shared" si="3"/>
        <v>3007.2952359898309</v>
      </c>
      <c r="N12" s="328">
        <f t="shared" si="3"/>
        <v>10183.627721896763</v>
      </c>
      <c r="O12" s="328">
        <f t="shared" si="3"/>
        <v>15888.239195313363</v>
      </c>
      <c r="P12" s="328">
        <f t="shared" si="3"/>
        <v>15480.6</v>
      </c>
      <c r="Q12" s="328">
        <f t="shared" si="3"/>
        <v>17941.132000000001</v>
      </c>
      <c r="R12" s="328">
        <f t="shared" si="3"/>
        <v>21326</v>
      </c>
      <c r="S12" s="328">
        <f t="shared" si="3"/>
        <v>10239</v>
      </c>
      <c r="T12" s="328">
        <f t="shared" si="3"/>
        <v>4726</v>
      </c>
      <c r="U12" s="328">
        <f t="shared" si="3"/>
        <v>2909</v>
      </c>
      <c r="V12" s="328">
        <f t="shared" si="3"/>
        <v>4235</v>
      </c>
      <c r="W12" s="328">
        <f t="shared" si="3"/>
        <v>5855</v>
      </c>
      <c r="X12" s="328">
        <f t="shared" si="3"/>
        <v>3987</v>
      </c>
      <c r="Y12" s="328">
        <f t="shared" si="3"/>
        <v>3150.2155410633359</v>
      </c>
      <c r="Z12" s="328">
        <f t="shared" si="3"/>
        <v>2462.694815961092</v>
      </c>
      <c r="AA12" s="328">
        <f t="shared" si="3"/>
        <v>3010.9428539847463</v>
      </c>
      <c r="AB12" s="328">
        <f t="shared" si="3"/>
        <v>4239.8592942728374</v>
      </c>
      <c r="AC12" s="328">
        <f t="shared" si="3"/>
        <v>4015.2</v>
      </c>
      <c r="AD12" s="328">
        <f t="shared" si="3"/>
        <v>1955.7477556382748</v>
      </c>
      <c r="AE12" s="66">
        <v>2201.9251804856704</v>
      </c>
      <c r="AF12" s="66">
        <v>652.17821782177862</v>
      </c>
      <c r="AG12" s="66">
        <f>+AG13</f>
        <v>298.52023500000001</v>
      </c>
      <c r="AH12" s="342">
        <f>+AH13</f>
        <v>265.36899099999999</v>
      </c>
      <c r="AI12" s="342">
        <f>+AI13</f>
        <v>382.94944600000002</v>
      </c>
      <c r="AJ12" s="342">
        <f>+AJ13</f>
        <v>275.3</v>
      </c>
      <c r="AK12" s="342"/>
      <c r="AL12" s="342"/>
      <c r="AM12" s="342"/>
      <c r="AN12" s="342"/>
      <c r="AO12" s="342"/>
      <c r="AP12" s="342"/>
      <c r="AQ12" s="342"/>
      <c r="AR12" s="343"/>
      <c r="AS12" s="331">
        <f t="shared" si="2"/>
        <v>223303.7185580433</v>
      </c>
      <c r="AT12" s="307"/>
    </row>
    <row r="13" spans="1:46" ht="12" thickBot="1" x14ac:dyDescent="0.25">
      <c r="A13" s="344" t="s">
        <v>61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>
        <v>1463.6896208687965</v>
      </c>
      <c r="N13" s="49">
        <v>10180.059688294463</v>
      </c>
      <c r="O13" s="49">
        <v>15886.75804133967</v>
      </c>
      <c r="P13" s="50">
        <v>15480</v>
      </c>
      <c r="Q13" s="50">
        <v>17941</v>
      </c>
      <c r="R13" s="50">
        <v>21326</v>
      </c>
      <c r="S13" s="50">
        <v>10239</v>
      </c>
      <c r="T13" s="50">
        <v>4726</v>
      </c>
      <c r="U13" s="49">
        <v>2909</v>
      </c>
      <c r="V13" s="49">
        <v>4235</v>
      </c>
      <c r="W13" s="232">
        <v>5855</v>
      </c>
      <c r="X13" s="232">
        <v>3987</v>
      </c>
      <c r="Y13" s="232">
        <v>3150.2155410633359</v>
      </c>
      <c r="Z13" s="232">
        <v>2462.694815961092</v>
      </c>
      <c r="AA13" s="232">
        <v>3010.9428539847463</v>
      </c>
      <c r="AB13" s="232">
        <v>4239.8592942728374</v>
      </c>
      <c r="AC13" s="233">
        <v>4015.2</v>
      </c>
      <c r="AD13" s="233">
        <v>1955.7477556382748</v>
      </c>
      <c r="AE13" s="233">
        <v>2201.9251804856704</v>
      </c>
      <c r="AF13" s="233">
        <v>652.17821782177862</v>
      </c>
      <c r="AG13" s="233">
        <v>298.52023500000001</v>
      </c>
      <c r="AH13" s="223">
        <v>265.36899099999999</v>
      </c>
      <c r="AI13" s="223">
        <v>382.94944600000002</v>
      </c>
      <c r="AJ13" s="223">
        <v>275.3</v>
      </c>
      <c r="AK13" s="227"/>
      <c r="AL13" s="227"/>
      <c r="AM13" s="227"/>
      <c r="AN13" s="227"/>
      <c r="AO13" s="227"/>
      <c r="AP13" s="227"/>
      <c r="AQ13" s="227"/>
      <c r="AR13" s="345"/>
      <c r="AS13" s="334">
        <f t="shared" si="2"/>
        <v>137139.40968173067</v>
      </c>
      <c r="AT13" s="346"/>
    </row>
    <row r="14" spans="1:46" ht="23.25" thickBot="1" x14ac:dyDescent="0.25">
      <c r="A14" s="347" t="s">
        <v>62</v>
      </c>
      <c r="B14" s="234"/>
      <c r="C14" s="234"/>
      <c r="D14" s="234"/>
      <c r="E14" s="234">
        <v>4764.8060130429985</v>
      </c>
      <c r="F14" s="234">
        <v>7271.3606720459829</v>
      </c>
      <c r="G14" s="234">
        <v>11365.181828230354</v>
      </c>
      <c r="H14" s="234">
        <v>16050.757157068643</v>
      </c>
      <c r="I14" s="234">
        <v>12349.552337791532</v>
      </c>
      <c r="J14" s="234">
        <v>13212.424007958442</v>
      </c>
      <c r="K14" s="234">
        <v>14743.804576102577</v>
      </c>
      <c r="L14" s="234">
        <v>4857.0354813750419</v>
      </c>
      <c r="M14" s="234">
        <v>1543.6056151210346</v>
      </c>
      <c r="N14" s="234">
        <v>3.568033602299105</v>
      </c>
      <c r="O14" s="234">
        <v>1.4811539736929371</v>
      </c>
      <c r="P14" s="54">
        <v>0.6</v>
      </c>
      <c r="Q14" s="54">
        <v>0.13200000000000001</v>
      </c>
      <c r="R14" s="54"/>
      <c r="S14" s="54"/>
      <c r="T14" s="54"/>
      <c r="U14" s="54"/>
      <c r="V14" s="54"/>
      <c r="W14" s="225"/>
      <c r="X14" s="225"/>
      <c r="Y14" s="225"/>
      <c r="Z14" s="225"/>
      <c r="AA14" s="225"/>
      <c r="AB14" s="225"/>
      <c r="AC14" s="226"/>
      <c r="AD14" s="226"/>
      <c r="AE14" s="226">
        <v>0</v>
      </c>
      <c r="AF14" s="226">
        <v>0</v>
      </c>
      <c r="AG14" s="226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8"/>
      <c r="AS14" s="336">
        <f t="shared" si="2"/>
        <v>86164.3088763126</v>
      </c>
    </row>
    <row r="15" spans="1:46" ht="12" thickBot="1" x14ac:dyDescent="0.25">
      <c r="A15" s="337" t="s">
        <v>17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43"/>
      <c r="Q15" s="43"/>
      <c r="R15" s="43"/>
      <c r="S15" s="43"/>
      <c r="T15" s="43"/>
      <c r="U15" s="43"/>
      <c r="V15" s="43"/>
      <c r="W15" s="338"/>
      <c r="X15" s="338"/>
      <c r="Y15" s="338"/>
      <c r="Z15" s="43">
        <v>39.681662429534654</v>
      </c>
      <c r="AA15" s="43">
        <v>84.525256991267824</v>
      </c>
      <c r="AB15" s="43">
        <v>110.6</v>
      </c>
      <c r="AC15" s="235">
        <v>197.5</v>
      </c>
      <c r="AD15" s="235">
        <v>128.08189183271296</v>
      </c>
      <c r="AE15" s="235">
        <v>248.68737694158827</v>
      </c>
      <c r="AF15" s="235">
        <v>433.96919691969197</v>
      </c>
      <c r="AG15" s="235">
        <v>674.10297630000002</v>
      </c>
      <c r="AH15" s="218">
        <v>233.14823479999998</v>
      </c>
      <c r="AI15" s="218">
        <v>206.49522252</v>
      </c>
      <c r="AJ15" s="218">
        <v>56.8</v>
      </c>
      <c r="AK15" s="218">
        <v>301.10000000000002</v>
      </c>
      <c r="AL15" s="218">
        <v>678.23045979999995</v>
      </c>
      <c r="AM15" s="218">
        <v>646.88084400000002</v>
      </c>
      <c r="AN15" s="218">
        <v>904.63113999999916</v>
      </c>
      <c r="AO15" s="218">
        <v>881.9363340000051</v>
      </c>
      <c r="AP15" s="218">
        <v>2069.3369000000075</v>
      </c>
      <c r="AQ15" s="218">
        <v>4910.395910591853</v>
      </c>
      <c r="AR15" s="219">
        <v>5628.6184729999777</v>
      </c>
      <c r="AS15" s="325">
        <f t="shared" si="2"/>
        <v>18434.721880126639</v>
      </c>
    </row>
    <row r="16" spans="1:46" ht="12" thickBot="1" x14ac:dyDescent="0.25">
      <c r="A16" s="340" t="s">
        <v>63</v>
      </c>
      <c r="B16" s="229"/>
      <c r="C16" s="229">
        <v>1585.0558196087102</v>
      </c>
      <c r="D16" s="229">
        <v>2946.8332043771416</v>
      </c>
      <c r="E16" s="229">
        <v>7993.8101027965076</v>
      </c>
      <c r="F16" s="229">
        <v>8801.8127556095951</v>
      </c>
      <c r="G16" s="229">
        <v>4661.2136619873991</v>
      </c>
      <c r="H16" s="229">
        <v>2284.735271360672</v>
      </c>
      <c r="I16" s="229">
        <v>1834.8623853211011</v>
      </c>
      <c r="J16" s="229">
        <v>1379.4628053498398</v>
      </c>
      <c r="K16" s="229">
        <v>1270.0342655023765</v>
      </c>
      <c r="L16" s="229">
        <v>383.5525588592904</v>
      </c>
      <c r="M16" s="229">
        <v>492.98109870675364</v>
      </c>
      <c r="N16" s="229">
        <v>645.29678346413175</v>
      </c>
      <c r="O16" s="229">
        <v>492.98109870675364</v>
      </c>
      <c r="P16" s="229">
        <f>158+195</f>
        <v>353</v>
      </c>
      <c r="Q16" s="229">
        <v>327</v>
      </c>
      <c r="R16" s="229">
        <v>277</v>
      </c>
      <c r="S16" s="229"/>
      <c r="T16" s="229"/>
      <c r="U16" s="229"/>
      <c r="V16" s="229"/>
      <c r="W16" s="338"/>
      <c r="X16" s="338"/>
      <c r="Y16" s="338"/>
      <c r="Z16" s="338"/>
      <c r="AA16" s="338"/>
      <c r="AB16" s="338"/>
      <c r="AC16" s="235"/>
      <c r="AD16" s="235"/>
      <c r="AE16" s="235"/>
      <c r="AF16" s="235">
        <v>0</v>
      </c>
      <c r="AG16" s="235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9"/>
      <c r="AS16" s="325">
        <f t="shared" si="2"/>
        <v>35729.631811650273</v>
      </c>
      <c r="AT16" s="339"/>
    </row>
    <row r="17" spans="1:46" ht="12" thickBot="1" x14ac:dyDescent="0.25">
      <c r="A17" s="340" t="s">
        <v>64</v>
      </c>
      <c r="B17" s="229">
        <v>42654.581629269371</v>
      </c>
      <c r="C17" s="229">
        <v>38180.612357687634</v>
      </c>
      <c r="D17" s="229">
        <v>5912.8993036365646</v>
      </c>
      <c r="E17" s="229">
        <v>8615.1763015364213</v>
      </c>
      <c r="F17" s="229">
        <v>1934.7297446667403</v>
      </c>
      <c r="G17" s="229">
        <v>1284.7905382999888</v>
      </c>
      <c r="H17" s="229">
        <v>895.98762020559298</v>
      </c>
      <c r="I17" s="229">
        <v>615.50790317232224</v>
      </c>
      <c r="J17" s="229">
        <v>458.05239305847243</v>
      </c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338"/>
      <c r="X17" s="338"/>
      <c r="Y17" s="338"/>
      <c r="Z17" s="338"/>
      <c r="AA17" s="338"/>
      <c r="AB17" s="338"/>
      <c r="AC17" s="235"/>
      <c r="AD17" s="235"/>
      <c r="AE17" s="235"/>
      <c r="AF17" s="235">
        <v>0</v>
      </c>
      <c r="AG17" s="235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9"/>
      <c r="AS17" s="325">
        <f t="shared" si="2"/>
        <v>100552.33779153311</v>
      </c>
      <c r="AT17" s="339"/>
    </row>
    <row r="18" spans="1:46" ht="12" thickBot="1" x14ac:dyDescent="0.25">
      <c r="A18" s="340" t="s">
        <v>65</v>
      </c>
      <c r="B18" s="229"/>
      <c r="C18" s="229"/>
      <c r="D18" s="229"/>
      <c r="E18" s="229"/>
      <c r="F18" s="229">
        <v>2.7191334143915111</v>
      </c>
      <c r="G18" s="229">
        <v>5.4382668287830223</v>
      </c>
      <c r="H18" s="229">
        <v>10.876533657566045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338"/>
      <c r="X18" s="338"/>
      <c r="Y18" s="338"/>
      <c r="Z18" s="338"/>
      <c r="AA18" s="338"/>
      <c r="AB18" s="338"/>
      <c r="AC18" s="235"/>
      <c r="AD18" s="235"/>
      <c r="AE18" s="235"/>
      <c r="AF18" s="235">
        <v>0</v>
      </c>
      <c r="AG18" s="235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9"/>
      <c r="AS18" s="325">
        <f t="shared" si="2"/>
        <v>19.033933900740578</v>
      </c>
      <c r="AT18" s="339"/>
    </row>
    <row r="19" spans="1:46" ht="12" thickBot="1" x14ac:dyDescent="0.25">
      <c r="A19" s="340" t="s">
        <v>66</v>
      </c>
      <c r="B19" s="229"/>
      <c r="C19" s="229"/>
      <c r="D19" s="229">
        <v>647.50746103680785</v>
      </c>
      <c r="E19" s="229">
        <v>92.936885155300104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338"/>
      <c r="X19" s="338"/>
      <c r="Y19" s="338"/>
      <c r="Z19" s="338"/>
      <c r="AA19" s="338"/>
      <c r="AB19" s="338"/>
      <c r="AC19" s="235"/>
      <c r="AD19" s="235"/>
      <c r="AE19" s="235"/>
      <c r="AF19" s="235">
        <v>0</v>
      </c>
      <c r="AG19" s="235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9"/>
      <c r="AS19" s="325">
        <f t="shared" si="2"/>
        <v>740.44434619210801</v>
      </c>
      <c r="AT19" s="339"/>
    </row>
    <row r="20" spans="1:46" ht="12" thickBot="1" x14ac:dyDescent="0.25">
      <c r="A20" s="340" t="s">
        <v>67</v>
      </c>
      <c r="B20" s="229"/>
      <c r="C20" s="229">
        <v>663.49508124240083</v>
      </c>
      <c r="D20" s="229">
        <v>542.44722007295252</v>
      </c>
      <c r="E20" s="229">
        <v>376.99126782358798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338"/>
      <c r="X20" s="338"/>
      <c r="Y20" s="338"/>
      <c r="Z20" s="338"/>
      <c r="AA20" s="338"/>
      <c r="AB20" s="338"/>
      <c r="AC20" s="235"/>
      <c r="AD20" s="235"/>
      <c r="AE20" s="235"/>
      <c r="AF20" s="235">
        <v>0</v>
      </c>
      <c r="AG20" s="235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9"/>
      <c r="AS20" s="325">
        <f t="shared" si="2"/>
        <v>1582.9335691389413</v>
      </c>
      <c r="AT20" s="339"/>
    </row>
    <row r="21" spans="1:46" ht="12" thickBot="1" x14ac:dyDescent="0.25">
      <c r="A21" s="340" t="s">
        <v>68</v>
      </c>
      <c r="B21" s="229">
        <v>5904.8303304962965</v>
      </c>
      <c r="C21" s="229">
        <v>4337.3493975903621</v>
      </c>
      <c r="D21" s="229">
        <v>9503.3712832983329</v>
      </c>
      <c r="E21" s="229">
        <v>2105.0071847021113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338"/>
      <c r="X21" s="338"/>
      <c r="Y21" s="338"/>
      <c r="Z21" s="338"/>
      <c r="AA21" s="338"/>
      <c r="AB21" s="338"/>
      <c r="AC21" s="235"/>
      <c r="AD21" s="235"/>
      <c r="AE21" s="235"/>
      <c r="AF21" s="235">
        <v>0</v>
      </c>
      <c r="AG21" s="235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9"/>
      <c r="AS21" s="325">
        <f t="shared" si="2"/>
        <v>21850.558196087102</v>
      </c>
      <c r="AT21" s="339"/>
    </row>
    <row r="22" spans="1:46" ht="12" thickBot="1" x14ac:dyDescent="0.25">
      <c r="A22" s="340" t="s">
        <v>69</v>
      </c>
      <c r="B22" s="229"/>
      <c r="C22" s="229">
        <v>663.20327180280765</v>
      </c>
      <c r="D22" s="229">
        <v>4200.2873880844481</v>
      </c>
      <c r="E22" s="229">
        <v>5457.0575881507684</v>
      </c>
      <c r="F22" s="229">
        <v>10761.578423786892</v>
      </c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338"/>
      <c r="X22" s="338"/>
      <c r="Y22" s="338"/>
      <c r="Z22" s="338"/>
      <c r="AA22" s="338"/>
      <c r="AB22" s="235"/>
      <c r="AC22" s="235"/>
      <c r="AD22" s="235"/>
      <c r="AE22" s="235"/>
      <c r="AF22" s="235">
        <v>0</v>
      </c>
      <c r="AG22" s="235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9"/>
      <c r="AS22" s="325">
        <f t="shared" si="2"/>
        <v>21082.126671824917</v>
      </c>
      <c r="AT22" s="339"/>
    </row>
    <row r="23" spans="1:46" ht="12" thickBot="1" x14ac:dyDescent="0.25">
      <c r="A23" s="348" t="s">
        <v>70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50"/>
      <c r="X23" s="350"/>
      <c r="Y23" s="350"/>
      <c r="Z23" s="350"/>
      <c r="AA23" s="350"/>
      <c r="AB23" s="236"/>
      <c r="AC23" s="236"/>
      <c r="AD23" s="236"/>
      <c r="AE23" s="236"/>
      <c r="AF23" s="236">
        <v>908.87788778877871</v>
      </c>
      <c r="AG23" s="236">
        <v>1053.1292276700001</v>
      </c>
      <c r="AH23" s="237">
        <v>1310.0294375450003</v>
      </c>
      <c r="AI23" s="237">
        <v>1156.7541477</v>
      </c>
      <c r="AJ23" s="237">
        <v>1586.5</v>
      </c>
      <c r="AK23" s="237">
        <v>2.2768961599999997</v>
      </c>
      <c r="AL23" s="218"/>
      <c r="AM23" s="218"/>
      <c r="AN23" s="218"/>
      <c r="AO23" s="218"/>
      <c r="AP23" s="218"/>
      <c r="AQ23" s="218"/>
      <c r="AR23" s="351"/>
      <c r="AS23" s="352">
        <f t="shared" si="2"/>
        <v>6017.5675968637797</v>
      </c>
      <c r="AT23" s="332"/>
    </row>
    <row r="24" spans="1:46" s="353" customFormat="1" ht="12.75" thickTop="1" thickBot="1" x14ac:dyDescent="0.25">
      <c r="A24" s="238" t="s">
        <v>71</v>
      </c>
      <c r="B24" s="239">
        <f>+B5+B6+B10+B11+B12+B15+B16+B17+B18+B19+B20+B21+B22+B23</f>
        <v>48654.758483475183</v>
      </c>
      <c r="C24" s="239">
        <f t="shared" ref="C24:AR24" si="4">+C5+C6+C10+C11+C12+C15+C16+C17+C18+C19+C20+C21+C22+C23</f>
        <v>68289.603183375715</v>
      </c>
      <c r="D24" s="239">
        <f t="shared" si="4"/>
        <v>53071.517630153648</v>
      </c>
      <c r="E24" s="239">
        <f t="shared" si="4"/>
        <v>83470.182380899758</v>
      </c>
      <c r="F24" s="239">
        <f t="shared" si="4"/>
        <v>97275.262517961761</v>
      </c>
      <c r="G24" s="239">
        <f t="shared" si="4"/>
        <v>94293.146899524712</v>
      </c>
      <c r="H24" s="239">
        <f t="shared" si="4"/>
        <v>88915.662650602404</v>
      </c>
      <c r="I24" s="239">
        <f t="shared" si="4"/>
        <v>43901.436940422245</v>
      </c>
      <c r="J24" s="239">
        <f t="shared" si="4"/>
        <v>32252.779927047643</v>
      </c>
      <c r="K24" s="239">
        <f t="shared" si="4"/>
        <v>34430.330496297123</v>
      </c>
      <c r="L24" s="239">
        <f t="shared" si="4"/>
        <v>18380.391289930365</v>
      </c>
      <c r="M24" s="239">
        <f t="shared" si="4"/>
        <v>22175.527799270476</v>
      </c>
      <c r="N24" s="239">
        <f t="shared" si="4"/>
        <v>30869.788880291813</v>
      </c>
      <c r="O24" s="239">
        <f t="shared" si="4"/>
        <v>37344.450536089309</v>
      </c>
      <c r="P24" s="239">
        <f t="shared" si="4"/>
        <v>39659.599999999999</v>
      </c>
      <c r="Q24" s="239">
        <f t="shared" si="4"/>
        <v>79040.131999999998</v>
      </c>
      <c r="R24" s="239">
        <f t="shared" si="4"/>
        <v>101383</v>
      </c>
      <c r="S24" s="239">
        <f t="shared" si="4"/>
        <v>86198</v>
      </c>
      <c r="T24" s="239">
        <f t="shared" si="4"/>
        <v>65357</v>
      </c>
      <c r="U24" s="239">
        <f t="shared" si="4"/>
        <v>53319</v>
      </c>
      <c r="V24" s="239">
        <f t="shared" si="4"/>
        <v>52305</v>
      </c>
      <c r="W24" s="239">
        <f t="shared" si="4"/>
        <v>57280</v>
      </c>
      <c r="X24" s="239">
        <f t="shared" si="4"/>
        <v>44053</v>
      </c>
      <c r="Y24" s="239">
        <f t="shared" si="4"/>
        <v>47943.487343870896</v>
      </c>
      <c r="Z24" s="239">
        <f t="shared" si="4"/>
        <v>48315.467779374376</v>
      </c>
      <c r="AA24" s="239">
        <f t="shared" si="4"/>
        <v>53360.283917320659</v>
      </c>
      <c r="AB24" s="239">
        <f t="shared" si="4"/>
        <v>33671.842464548754</v>
      </c>
      <c r="AC24" s="239">
        <f>+AC5+AC6+AC10+AC11+AC12+AC15+AC16+AC17+AC18+AC19+AC20+AC21+AC22+AC23</f>
        <v>60505.403905991392</v>
      </c>
      <c r="AD24" s="239">
        <f t="shared" si="4"/>
        <v>54576.187935187219</v>
      </c>
      <c r="AE24" s="240">
        <f t="shared" si="4"/>
        <v>84399.754977029108</v>
      </c>
      <c r="AF24" s="240">
        <f t="shared" si="4"/>
        <v>99403.166666666657</v>
      </c>
      <c r="AG24" s="240">
        <f t="shared" si="4"/>
        <v>70772.041232470001</v>
      </c>
      <c r="AH24" s="240">
        <f t="shared" si="4"/>
        <v>65441.497822778976</v>
      </c>
      <c r="AI24" s="240">
        <f t="shared" si="4"/>
        <v>76879.249918670001</v>
      </c>
      <c r="AJ24" s="240">
        <f t="shared" si="4"/>
        <v>49658.700000000004</v>
      </c>
      <c r="AK24" s="240">
        <f t="shared" si="4"/>
        <v>10838.453038561132</v>
      </c>
      <c r="AL24" s="240">
        <f t="shared" si="4"/>
        <v>11023.625025469997</v>
      </c>
      <c r="AM24" s="240">
        <f t="shared" si="4"/>
        <v>10263.159537</v>
      </c>
      <c r="AN24" s="240">
        <f t="shared" si="4"/>
        <v>9914.2544255999728</v>
      </c>
      <c r="AO24" s="240">
        <f t="shared" si="4"/>
        <v>9241.293290349975</v>
      </c>
      <c r="AP24" s="240">
        <f t="shared" si="4"/>
        <v>9937.7571363999668</v>
      </c>
      <c r="AQ24" s="240">
        <f t="shared" si="4"/>
        <v>15654.263574991599</v>
      </c>
      <c r="AR24" s="73">
        <f t="shared" si="4"/>
        <v>13192.618447599867</v>
      </c>
      <c r="AS24" s="241">
        <f t="shared" si="2"/>
        <v>2166912.0800552228</v>
      </c>
    </row>
    <row r="25" spans="1:46" ht="12.75" thickTop="1" thickBot="1" x14ac:dyDescent="0.25">
      <c r="A25" s="354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242"/>
      <c r="AF25" s="242"/>
      <c r="AG25" s="242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2">
        <f>+AS5+AS6+AS10+AS11+AS12+AS15+AS16+AS17+AS18+AS19+AS20+AS21+AS22+AS23</f>
        <v>2166912.0800552233</v>
      </c>
      <c r="AT25" s="339"/>
    </row>
    <row r="26" spans="1:46" ht="12" thickBot="1" x14ac:dyDescent="0.25">
      <c r="AB26" s="309"/>
      <c r="AC26" s="309"/>
      <c r="AD26" s="309"/>
      <c r="AE26" s="311">
        <f t="shared" ref="AE26:AP26" si="5">+AE3</f>
        <v>0.91420000000000001</v>
      </c>
      <c r="AF26" s="311">
        <f t="shared" si="5"/>
        <v>0.90900000000000003</v>
      </c>
      <c r="AG26" s="311">
        <f t="shared" si="5"/>
        <v>1.0881000000000001</v>
      </c>
      <c r="AH26" s="355">
        <f t="shared" si="5"/>
        <v>1.07935</v>
      </c>
      <c r="AI26" s="355">
        <f t="shared" si="5"/>
        <v>1.07782</v>
      </c>
      <c r="AJ26" s="355">
        <f t="shared" si="5"/>
        <v>1.07613</v>
      </c>
      <c r="AK26" s="355">
        <f t="shared" si="5"/>
        <v>1.0699700000000001</v>
      </c>
      <c r="AL26" s="355">
        <f t="shared" si="5"/>
        <v>1.06063</v>
      </c>
      <c r="AM26" s="355">
        <f t="shared" si="5"/>
        <v>1.0613999999999999</v>
      </c>
      <c r="AN26" s="355">
        <f t="shared" si="5"/>
        <v>1.0653999999999999</v>
      </c>
      <c r="AO26" s="355">
        <f t="shared" si="5"/>
        <v>1.0603</v>
      </c>
      <c r="AP26" s="355">
        <f t="shared" si="5"/>
        <v>1.0642</v>
      </c>
      <c r="AQ26" s="355">
        <f>+AQ3</f>
        <v>1.0687</v>
      </c>
      <c r="AR26" s="355">
        <f>AR3</f>
        <v>1.0649999999999999</v>
      </c>
      <c r="AS26" s="244"/>
      <c r="AT26" s="339"/>
    </row>
    <row r="27" spans="1:46" s="310" customFormat="1" ht="45.75" thickBot="1" x14ac:dyDescent="0.25">
      <c r="A27" s="314" t="s">
        <v>72</v>
      </c>
      <c r="B27" s="315">
        <v>1981</v>
      </c>
      <c r="C27" s="315">
        <v>1982</v>
      </c>
      <c r="D27" s="316">
        <v>1983</v>
      </c>
      <c r="E27" s="316">
        <v>1984</v>
      </c>
      <c r="F27" s="316">
        <v>1985</v>
      </c>
      <c r="G27" s="316">
        <v>1986</v>
      </c>
      <c r="H27" s="316">
        <v>1987</v>
      </c>
      <c r="I27" s="316">
        <v>1988</v>
      </c>
      <c r="J27" s="317">
        <v>1989</v>
      </c>
      <c r="K27" s="317" t="s">
        <v>35</v>
      </c>
      <c r="L27" s="316" t="s">
        <v>36</v>
      </c>
      <c r="M27" s="316">
        <v>1992</v>
      </c>
      <c r="N27" s="316">
        <v>1993</v>
      </c>
      <c r="O27" s="316">
        <v>1994</v>
      </c>
      <c r="P27" s="316">
        <v>1995</v>
      </c>
      <c r="Q27" s="316">
        <v>1996</v>
      </c>
      <c r="R27" s="316">
        <v>1997</v>
      </c>
      <c r="S27" s="316">
        <v>1998</v>
      </c>
      <c r="T27" s="316">
        <v>1999</v>
      </c>
      <c r="U27" s="316">
        <v>2000</v>
      </c>
      <c r="V27" s="316">
        <v>2001</v>
      </c>
      <c r="W27" s="316">
        <v>2002</v>
      </c>
      <c r="X27" s="316">
        <v>2003</v>
      </c>
      <c r="Y27" s="318">
        <v>2004</v>
      </c>
      <c r="Z27" s="318">
        <v>2005</v>
      </c>
      <c r="AA27" s="318">
        <v>2006</v>
      </c>
      <c r="AB27" s="356">
        <v>2007</v>
      </c>
      <c r="AC27" s="357" t="s">
        <v>73</v>
      </c>
      <c r="AD27" s="311" t="s">
        <v>74</v>
      </c>
      <c r="AE27" s="311" t="s">
        <v>75</v>
      </c>
      <c r="AF27" s="311" t="s">
        <v>76</v>
      </c>
      <c r="AG27" s="311" t="s">
        <v>77</v>
      </c>
      <c r="AH27" s="358" t="s">
        <v>78</v>
      </c>
      <c r="AI27" s="358" t="s">
        <v>79</v>
      </c>
      <c r="AJ27" s="358" t="s">
        <v>80</v>
      </c>
      <c r="AK27" s="358" t="s">
        <v>81</v>
      </c>
      <c r="AL27" s="358" t="s">
        <v>82</v>
      </c>
      <c r="AM27" s="358" t="s">
        <v>83</v>
      </c>
      <c r="AN27" s="358" t="s">
        <v>84</v>
      </c>
      <c r="AO27" s="358" t="s">
        <v>85</v>
      </c>
      <c r="AP27" s="358" t="s">
        <v>86</v>
      </c>
      <c r="AQ27" s="358" t="s">
        <v>87</v>
      </c>
      <c r="AR27" s="358" t="s">
        <v>88</v>
      </c>
      <c r="AS27" s="322" t="s">
        <v>89</v>
      </c>
      <c r="AT27" s="359"/>
    </row>
    <row r="28" spans="1:46" ht="12" thickBot="1" x14ac:dyDescent="0.25">
      <c r="A28" s="340" t="s">
        <v>54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43"/>
      <c r="N28" s="43"/>
      <c r="O28" s="43"/>
      <c r="P28" s="43"/>
      <c r="Q28" s="43"/>
      <c r="R28" s="43"/>
      <c r="S28" s="43">
        <v>260</v>
      </c>
      <c r="T28" s="43">
        <v>320</v>
      </c>
      <c r="U28" s="43">
        <v>654</v>
      </c>
      <c r="V28" s="43">
        <v>1130</v>
      </c>
      <c r="W28" s="43">
        <v>1175</v>
      </c>
      <c r="X28" s="43">
        <v>1578</v>
      </c>
      <c r="Y28" s="43">
        <v>2429.2013502138402</v>
      </c>
      <c r="Z28" s="43">
        <v>2928.4449016957033</v>
      </c>
      <c r="AA28" s="43">
        <v>5233.6521810601607</v>
      </c>
      <c r="AB28" s="46">
        <v>5834.7369323243902</v>
      </c>
      <c r="AC28" s="46">
        <v>2598.022329409971</v>
      </c>
      <c r="AD28" s="46">
        <v>1087.9853474124488</v>
      </c>
      <c r="AE28" s="245">
        <v>1379.9829993928356</v>
      </c>
      <c r="AF28" s="245">
        <v>1403.7561788394776</v>
      </c>
      <c r="AG28" s="245">
        <v>1457.6996058300003</v>
      </c>
      <c r="AH28" s="246">
        <v>853.20651783929065</v>
      </c>
      <c r="AI28" s="246">
        <v>1058.8395898000001</v>
      </c>
      <c r="AJ28" s="246">
        <v>955.9</v>
      </c>
      <c r="AK28" s="246">
        <v>433.01813330610122</v>
      </c>
      <c r="AL28" s="247">
        <v>359.18234949999999</v>
      </c>
      <c r="AM28" s="247">
        <v>470.0205708241017</v>
      </c>
      <c r="AN28" s="247">
        <v>479.97674653990805</v>
      </c>
      <c r="AO28" s="247">
        <v>472.76182743209364</v>
      </c>
      <c r="AP28" s="247">
        <v>507.45149590054325</v>
      </c>
      <c r="AQ28" s="247">
        <v>631.06759562682862</v>
      </c>
      <c r="AR28" s="248">
        <v>486.87103078646078</v>
      </c>
      <c r="AS28" s="360">
        <f>SUM(B28:AR28)</f>
        <v>36178.777683734166</v>
      </c>
      <c r="AT28" s="332"/>
    </row>
    <row r="29" spans="1:46" s="310" customFormat="1" x14ac:dyDescent="0.2">
      <c r="A29" s="327" t="s">
        <v>55</v>
      </c>
      <c r="B29" s="328">
        <v>71.847021111970818</v>
      </c>
      <c r="C29" s="328">
        <v>963.85542168674704</v>
      </c>
      <c r="D29" s="328">
        <v>1313.1424781695591</v>
      </c>
      <c r="E29" s="328">
        <v>12278.103238642645</v>
      </c>
      <c r="F29" s="328">
        <v>16343.539294793854</v>
      </c>
      <c r="G29" s="328">
        <v>15753.288382889357</v>
      </c>
      <c r="H29" s="328">
        <v>14794.9596551343</v>
      </c>
      <c r="I29" s="328">
        <v>11412.622968939981</v>
      </c>
      <c r="J29" s="328">
        <v>8867.027744003537</v>
      </c>
      <c r="K29" s="328">
        <v>9878.4127335028188</v>
      </c>
      <c r="L29" s="328">
        <v>11350.723996905052</v>
      </c>
      <c r="M29" s="328">
        <v>15538.852658339782</v>
      </c>
      <c r="N29" s="328">
        <v>5449.3202166464025</v>
      </c>
      <c r="O29" s="328">
        <v>5210.5670387973914</v>
      </c>
      <c r="P29" s="328">
        <v>4347</v>
      </c>
      <c r="Q29" s="328">
        <v>11048</v>
      </c>
      <c r="R29" s="328">
        <v>16958</v>
      </c>
      <c r="S29" s="66">
        <v>17137</v>
      </c>
      <c r="T29" s="66">
        <v>8225</v>
      </c>
      <c r="U29" s="66">
        <v>7019</v>
      </c>
      <c r="V29" s="66">
        <v>14938</v>
      </c>
      <c r="W29" s="66">
        <v>17312</v>
      </c>
      <c r="X29" s="66">
        <v>9771</v>
      </c>
      <c r="Y29" s="66">
        <v>4947.496407648945</v>
      </c>
      <c r="Z29" s="66">
        <v>2166.4640212225049</v>
      </c>
      <c r="AA29" s="66">
        <v>2294</v>
      </c>
      <c r="AB29" s="66">
        <v>5808.5082994393761</v>
      </c>
      <c r="AC29" s="66">
        <v>5685.7552686748313</v>
      </c>
      <c r="AD29" s="66">
        <v>5212.923336504794</v>
      </c>
      <c r="AE29" s="66">
        <v>6821.4962624584714</v>
      </c>
      <c r="AF29" s="66">
        <v>5489.8659823982398</v>
      </c>
      <c r="AG29" s="66">
        <f>+AG30</f>
        <v>3834.5</v>
      </c>
      <c r="AH29" s="251">
        <f>+AH30</f>
        <v>3070.5424831500004</v>
      </c>
      <c r="AI29" s="251">
        <f>+AI30</f>
        <v>3466.90785134</v>
      </c>
      <c r="AJ29" s="251">
        <f>+AJ30</f>
        <v>4279.2</v>
      </c>
      <c r="AK29" s="251">
        <v>2411.8605900000148</v>
      </c>
      <c r="AL29" s="67">
        <v>2342.3334746799997</v>
      </c>
      <c r="AM29" s="67">
        <v>2370.2664713999998</v>
      </c>
      <c r="AN29" s="67">
        <v>2617.5130743999844</v>
      </c>
      <c r="AO29" s="67">
        <v>1026.5146008000008</v>
      </c>
      <c r="AP29" s="67">
        <v>1074.5238042000012</v>
      </c>
      <c r="AQ29" s="67">
        <v>2794.8674460999937</v>
      </c>
      <c r="AR29" s="68">
        <v>5167.5374762999863</v>
      </c>
      <c r="AS29" s="361">
        <f t="shared" ref="AS29:AS47" si="6">SUM(B29:AR29)</f>
        <v>308864.33970028051</v>
      </c>
      <c r="AT29" s="359"/>
    </row>
    <row r="30" spans="1:46" x14ac:dyDescent="0.2">
      <c r="A30" s="333" t="s">
        <v>16</v>
      </c>
      <c r="B30" s="49">
        <v>71.847021111970818</v>
      </c>
      <c r="C30" s="49">
        <v>963.85542168674704</v>
      </c>
      <c r="D30" s="49">
        <v>1313.1424781695591</v>
      </c>
      <c r="E30" s="49">
        <v>12278.103238642645</v>
      </c>
      <c r="F30" s="49">
        <v>16343.539294793854</v>
      </c>
      <c r="G30" s="49">
        <v>15753.288382889357</v>
      </c>
      <c r="H30" s="49">
        <v>14794.9596551343</v>
      </c>
      <c r="I30" s="49">
        <v>11412.622968939981</v>
      </c>
      <c r="J30" s="49">
        <v>8867.027744003537</v>
      </c>
      <c r="K30" s="49">
        <v>9878.4127335028188</v>
      </c>
      <c r="L30" s="49">
        <v>11350.723996905052</v>
      </c>
      <c r="M30" s="49">
        <v>15538.852658339782</v>
      </c>
      <c r="N30" s="49">
        <v>5449.3202166464025</v>
      </c>
      <c r="O30" s="49">
        <v>5210.5670387973914</v>
      </c>
      <c r="P30" s="49">
        <v>4347</v>
      </c>
      <c r="Q30" s="49">
        <v>11048</v>
      </c>
      <c r="R30" s="49">
        <v>16958</v>
      </c>
      <c r="S30" s="50">
        <v>17137</v>
      </c>
      <c r="T30" s="50">
        <v>8225</v>
      </c>
      <c r="U30" s="50">
        <v>7019</v>
      </c>
      <c r="V30" s="50">
        <v>14938</v>
      </c>
      <c r="W30" s="221">
        <v>17312</v>
      </c>
      <c r="X30" s="221">
        <v>9771</v>
      </c>
      <c r="Y30" s="221">
        <v>4947</v>
      </c>
      <c r="Z30" s="221">
        <v>2166</v>
      </c>
      <c r="AA30" s="221">
        <v>2294</v>
      </c>
      <c r="AB30" s="222">
        <v>5809</v>
      </c>
      <c r="AC30" s="51">
        <v>5686</v>
      </c>
      <c r="AD30" s="51">
        <v>5212.923336504794</v>
      </c>
      <c r="AE30" s="51">
        <v>6821.4962624584714</v>
      </c>
      <c r="AF30" s="51">
        <v>5489.8659823982398</v>
      </c>
      <c r="AG30" s="51">
        <v>3834.5</v>
      </c>
      <c r="AH30" s="249">
        <v>3070.5424831500004</v>
      </c>
      <c r="AI30" s="249">
        <v>3466.90785134</v>
      </c>
      <c r="AJ30" s="249">
        <v>4279.2</v>
      </c>
      <c r="AK30" s="249">
        <v>2411.8605900000148</v>
      </c>
      <c r="AL30" s="52">
        <v>2342.3334746799997</v>
      </c>
      <c r="AM30" s="52">
        <v>2370.2664713999998</v>
      </c>
      <c r="AN30" s="52">
        <v>2617.5130743999844</v>
      </c>
      <c r="AO30" s="52">
        <v>1026.5146008000008</v>
      </c>
      <c r="AP30" s="52">
        <v>1074.5238042000012</v>
      </c>
      <c r="AQ30" s="52">
        <v>2794.8674460999937</v>
      </c>
      <c r="AR30" s="53">
        <v>5167.5374762999863</v>
      </c>
      <c r="AS30" s="362">
        <f t="shared" si="6"/>
        <v>308864.11570329481</v>
      </c>
      <c r="AT30" s="339"/>
    </row>
    <row r="31" spans="1:46" x14ac:dyDescent="0.2">
      <c r="A31" s="333" t="s">
        <v>56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50"/>
      <c r="U31" s="50"/>
      <c r="V31" s="50"/>
      <c r="W31" s="221"/>
      <c r="X31" s="221"/>
      <c r="Y31" s="221"/>
      <c r="Z31" s="221"/>
      <c r="AA31" s="221"/>
      <c r="AB31" s="222"/>
      <c r="AC31" s="51"/>
      <c r="AD31" s="51"/>
      <c r="AE31" s="51"/>
      <c r="AF31" s="51"/>
      <c r="AG31" s="51"/>
      <c r="AH31" s="249"/>
      <c r="AI31" s="249"/>
      <c r="AJ31" s="249"/>
      <c r="AK31" s="249"/>
      <c r="AL31" s="52"/>
      <c r="AM31" s="52"/>
      <c r="AN31" s="52"/>
      <c r="AO31" s="52"/>
      <c r="AP31" s="52"/>
      <c r="AQ31" s="52"/>
      <c r="AR31" s="53"/>
      <c r="AS31" s="362">
        <f t="shared" si="6"/>
        <v>0</v>
      </c>
      <c r="AT31" s="339"/>
    </row>
    <row r="32" spans="1:46" ht="12" thickBot="1" x14ac:dyDescent="0.25">
      <c r="A32" s="363" t="s">
        <v>57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5"/>
      <c r="Q32" s="365"/>
      <c r="R32" s="365"/>
      <c r="S32" s="174"/>
      <c r="T32" s="174"/>
      <c r="U32" s="174"/>
      <c r="V32" s="174"/>
      <c r="W32" s="366"/>
      <c r="X32" s="366"/>
      <c r="Y32" s="367"/>
      <c r="Z32" s="367"/>
      <c r="AA32" s="367"/>
      <c r="AB32" s="368"/>
      <c r="AC32" s="62"/>
      <c r="AD32" s="62"/>
      <c r="AE32" s="62"/>
      <c r="AF32" s="62"/>
      <c r="AG32" s="62"/>
      <c r="AH32" s="369"/>
      <c r="AI32" s="369"/>
      <c r="AJ32" s="369"/>
      <c r="AK32" s="369"/>
      <c r="AL32" s="370"/>
      <c r="AM32" s="370"/>
      <c r="AN32" s="370"/>
      <c r="AO32" s="370"/>
      <c r="AP32" s="370"/>
      <c r="AQ32" s="370"/>
      <c r="AR32" s="64"/>
      <c r="AS32" s="371">
        <f t="shared" si="6"/>
        <v>0</v>
      </c>
      <c r="AT32" s="339"/>
    </row>
    <row r="33" spans="1:46" ht="12" thickBot="1" x14ac:dyDescent="0.25">
      <c r="A33" s="337" t="s">
        <v>58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43"/>
      <c r="T33" s="43"/>
      <c r="U33" s="43"/>
      <c r="V33" s="43"/>
      <c r="W33" s="338"/>
      <c r="X33" s="338"/>
      <c r="Y33" s="338"/>
      <c r="Z33" s="338"/>
      <c r="AA33" s="338"/>
      <c r="AB33" s="235"/>
      <c r="AC33" s="46"/>
      <c r="AD33" s="46"/>
      <c r="AE33" s="46"/>
      <c r="AF33" s="46"/>
      <c r="AG33" s="46"/>
      <c r="AH33" s="250"/>
      <c r="AI33" s="250"/>
      <c r="AJ33" s="250"/>
      <c r="AK33" s="250"/>
      <c r="AL33" s="47"/>
      <c r="AM33" s="47"/>
      <c r="AN33" s="47"/>
      <c r="AO33" s="47"/>
      <c r="AP33" s="47"/>
      <c r="AQ33" s="47"/>
      <c r="AR33" s="48"/>
      <c r="AS33" s="360">
        <f t="shared" si="6"/>
        <v>0</v>
      </c>
      <c r="AT33" s="339"/>
    </row>
    <row r="34" spans="1:46" ht="12" thickBot="1" x14ac:dyDescent="0.25">
      <c r="A34" s="340" t="s">
        <v>90</v>
      </c>
      <c r="B34" s="229"/>
      <c r="C34" s="229">
        <v>17795.954460042005</v>
      </c>
      <c r="D34" s="229">
        <v>19914.004642422904</v>
      </c>
      <c r="E34" s="229">
        <v>26478.014811539739</v>
      </c>
      <c r="F34" s="229">
        <v>32908.765336575663</v>
      </c>
      <c r="G34" s="229">
        <v>40293.931690063007</v>
      </c>
      <c r="H34" s="229">
        <v>35737.570465347628</v>
      </c>
      <c r="I34" s="229">
        <v>7570.9738034707643</v>
      </c>
      <c r="J34" s="229">
        <v>0</v>
      </c>
      <c r="K34" s="229">
        <v>0</v>
      </c>
      <c r="L34" s="229">
        <v>5974.7209019564498</v>
      </c>
      <c r="M34" s="229">
        <v>10766.685088979772</v>
      </c>
      <c r="N34" s="229">
        <v>457.27865590803583</v>
      </c>
      <c r="O34" s="229">
        <v>521.20039792196314</v>
      </c>
      <c r="P34" s="229">
        <v>623</v>
      </c>
      <c r="Q34" s="229">
        <v>163</v>
      </c>
      <c r="R34" s="229">
        <v>165</v>
      </c>
      <c r="S34" s="229">
        <v>6726</v>
      </c>
      <c r="T34" s="229">
        <v>16892</v>
      </c>
      <c r="U34" s="229">
        <v>13874</v>
      </c>
      <c r="V34" s="229">
        <v>20866</v>
      </c>
      <c r="W34" s="229">
        <v>22053</v>
      </c>
      <c r="X34" s="229">
        <v>5296</v>
      </c>
      <c r="Y34" s="43">
        <v>6130.6948460112953</v>
      </c>
      <c r="Z34" s="43">
        <v>8656.199730424094</v>
      </c>
      <c r="AA34" s="43">
        <v>9857.4417569871712</v>
      </c>
      <c r="AB34" s="46">
        <v>7775.2348849561113</v>
      </c>
      <c r="AC34" s="46">
        <v>10071.00214203519</v>
      </c>
      <c r="AD34" s="46">
        <v>13229.573078871852</v>
      </c>
      <c r="AE34" s="46">
        <v>20074.720466988507</v>
      </c>
      <c r="AF34" s="46">
        <v>29349.049792264446</v>
      </c>
      <c r="AG34" s="46">
        <v>19316.201463000001</v>
      </c>
      <c r="AH34" s="250">
        <v>19785.672785000006</v>
      </c>
      <c r="AI34" s="250">
        <v>24275.739860000001</v>
      </c>
      <c r="AJ34" s="250">
        <v>17230.2</v>
      </c>
      <c r="AK34" s="250">
        <v>15.075990000000001</v>
      </c>
      <c r="AL34" s="47"/>
      <c r="AM34" s="47"/>
      <c r="AN34" s="47"/>
      <c r="AO34" s="47"/>
      <c r="AP34" s="47"/>
      <c r="AQ34" s="47">
        <v>1300.5437779999975</v>
      </c>
      <c r="AR34" s="48">
        <v>845.17070800000147</v>
      </c>
      <c r="AS34" s="360">
        <f t="shared" si="6"/>
        <v>472989.62153676664</v>
      </c>
      <c r="AT34" s="332"/>
    </row>
    <row r="35" spans="1:46" s="310" customFormat="1" x14ac:dyDescent="0.2">
      <c r="A35" s="327" t="s">
        <v>60</v>
      </c>
      <c r="B35" s="328"/>
      <c r="C35" s="328"/>
      <c r="D35" s="328"/>
      <c r="E35" s="328">
        <v>7445.0093953796841</v>
      </c>
      <c r="F35" s="328">
        <v>11361.501050071847</v>
      </c>
      <c r="G35" s="328">
        <v>17758.096606609928</v>
      </c>
      <c r="H35" s="328">
        <v>25079.308057919752</v>
      </c>
      <c r="I35" s="328">
        <v>19296.175527799271</v>
      </c>
      <c r="J35" s="328">
        <v>20644.412512435061</v>
      </c>
      <c r="K35" s="328">
        <v>23037.194650160276</v>
      </c>
      <c r="L35" s="328">
        <v>16190.11827125014</v>
      </c>
      <c r="M35" s="328">
        <v>7745.6615452636233</v>
      </c>
      <c r="N35" s="328">
        <v>18909.393169006304</v>
      </c>
      <c r="O35" s="328">
        <v>29505.46037360451</v>
      </c>
      <c r="P35" s="328">
        <f>+P36+P37</f>
        <v>28578.6</v>
      </c>
      <c r="Q35" s="328">
        <v>33769</v>
      </c>
      <c r="R35" s="328">
        <v>40771</v>
      </c>
      <c r="S35" s="328">
        <v>11278</v>
      </c>
      <c r="T35" s="328">
        <v>4726</v>
      </c>
      <c r="U35" s="328">
        <v>2898</v>
      </c>
      <c r="V35" s="328">
        <v>4235</v>
      </c>
      <c r="W35" s="328">
        <v>5855</v>
      </c>
      <c r="X35" s="328">
        <v>3987</v>
      </c>
      <c r="Y35" s="66">
        <v>3148.1414713428408</v>
      </c>
      <c r="Z35" s="66">
        <v>2514.6678456947056</v>
      </c>
      <c r="AA35" s="66">
        <v>3075.4359529862568</v>
      </c>
      <c r="AB35" s="66">
        <v>4388.4929032649688</v>
      </c>
      <c r="AC35" s="66">
        <v>3747.7229470261855</v>
      </c>
      <c r="AD35" s="66">
        <v>1773.2112984453688</v>
      </c>
      <c r="AE35" s="66">
        <v>2162.9457042189897</v>
      </c>
      <c r="AF35" s="66">
        <v>550.60506050605056</v>
      </c>
      <c r="AG35" s="66">
        <f>+AG36</f>
        <v>367.54929900000241</v>
      </c>
      <c r="AH35" s="251">
        <f>+AH36</f>
        <v>311.38168150000001</v>
      </c>
      <c r="AI35" s="251">
        <f>+AI36</f>
        <v>424.37006859999997</v>
      </c>
      <c r="AJ35" s="251"/>
      <c r="AK35" s="251"/>
      <c r="AL35" s="67"/>
      <c r="AM35" s="67"/>
      <c r="AN35" s="67"/>
      <c r="AO35" s="67"/>
      <c r="AP35" s="67"/>
      <c r="AQ35" s="67"/>
      <c r="AR35" s="68"/>
      <c r="AS35" s="361">
        <f t="shared" si="6"/>
        <v>355534.45539208571</v>
      </c>
      <c r="AT35" s="359"/>
    </row>
    <row r="36" spans="1:46" x14ac:dyDescent="0.2">
      <c r="A36" s="344" t="s">
        <v>61</v>
      </c>
      <c r="B36" s="49"/>
      <c r="C36" s="49"/>
      <c r="D36" s="49"/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2866.6961423676357</v>
      </c>
      <c r="N36" s="49">
        <v>18905.825135404004</v>
      </c>
      <c r="O36" s="49">
        <v>29503.979219630819</v>
      </c>
      <c r="P36" s="50">
        <v>28578</v>
      </c>
      <c r="Q36" s="50">
        <v>33769</v>
      </c>
      <c r="R36" s="50">
        <v>40771</v>
      </c>
      <c r="S36" s="50">
        <v>11278</v>
      </c>
      <c r="T36" s="50">
        <v>4726</v>
      </c>
      <c r="U36" s="49">
        <v>2898</v>
      </c>
      <c r="V36" s="49">
        <v>4235</v>
      </c>
      <c r="W36" s="232">
        <v>5855</v>
      </c>
      <c r="X36" s="232">
        <v>3987</v>
      </c>
      <c r="Y36" s="232">
        <v>3148.1414713428408</v>
      </c>
      <c r="Z36" s="232">
        <v>2514.6678456947056</v>
      </c>
      <c r="AA36" s="232">
        <v>3075.4359529862568</v>
      </c>
      <c r="AB36" s="233">
        <v>4388.4929032649688</v>
      </c>
      <c r="AC36" s="51">
        <v>3747.7229470261855</v>
      </c>
      <c r="AD36" s="51">
        <v>1773.2112984453688</v>
      </c>
      <c r="AE36" s="51">
        <v>2162.9457042189897</v>
      </c>
      <c r="AF36" s="51">
        <v>550.60506050605056</v>
      </c>
      <c r="AG36" s="51">
        <v>367.54929900000241</v>
      </c>
      <c r="AH36" s="249">
        <v>311.38168150000001</v>
      </c>
      <c r="AI36" s="249">
        <v>424.37006859999997</v>
      </c>
      <c r="AJ36" s="249">
        <v>319</v>
      </c>
      <c r="AK36" s="249"/>
      <c r="AL36" s="52"/>
      <c r="AM36" s="52"/>
      <c r="AN36" s="52"/>
      <c r="AO36" s="52"/>
      <c r="AP36" s="52"/>
      <c r="AQ36" s="52"/>
      <c r="AR36" s="53"/>
      <c r="AS36" s="362">
        <f t="shared" si="6"/>
        <v>210157.02472998784</v>
      </c>
      <c r="AT36" s="332"/>
    </row>
    <row r="37" spans="1:46" ht="23.25" thickBot="1" x14ac:dyDescent="0.25">
      <c r="A37" s="347" t="s">
        <v>62</v>
      </c>
      <c r="B37" s="234"/>
      <c r="C37" s="234"/>
      <c r="D37" s="234"/>
      <c r="E37" s="234">
        <v>7445.0093953796841</v>
      </c>
      <c r="F37" s="234">
        <v>11361.501050071847</v>
      </c>
      <c r="G37" s="234">
        <v>17758.096606609928</v>
      </c>
      <c r="H37" s="234">
        <v>25079.308057919752</v>
      </c>
      <c r="I37" s="234">
        <v>19296.175527799271</v>
      </c>
      <c r="J37" s="234">
        <v>20644.412512435061</v>
      </c>
      <c r="K37" s="234">
        <v>23037.194650160276</v>
      </c>
      <c r="L37" s="234">
        <v>16190.11827125014</v>
      </c>
      <c r="M37" s="234">
        <v>4878.9654028959876</v>
      </c>
      <c r="N37" s="234">
        <v>3.568033602299105</v>
      </c>
      <c r="O37" s="234">
        <v>1.4811539736929371</v>
      </c>
      <c r="P37" s="54">
        <v>0.6</v>
      </c>
      <c r="Q37" s="54"/>
      <c r="R37" s="54"/>
      <c r="S37" s="54"/>
      <c r="T37" s="54"/>
      <c r="U37" s="54"/>
      <c r="V37" s="54"/>
      <c r="W37" s="225"/>
      <c r="X37" s="225"/>
      <c r="Y37" s="225"/>
      <c r="Z37" s="225"/>
      <c r="AA37" s="225"/>
      <c r="AB37" s="226"/>
      <c r="AC37" s="55"/>
      <c r="AD37" s="55"/>
      <c r="AE37" s="55">
        <v>0</v>
      </c>
      <c r="AF37" s="55">
        <v>0</v>
      </c>
      <c r="AG37" s="55"/>
      <c r="AH37" s="372"/>
      <c r="AI37" s="372"/>
      <c r="AJ37" s="372"/>
      <c r="AK37" s="372"/>
      <c r="AL37" s="56"/>
      <c r="AM37" s="56"/>
      <c r="AN37" s="56"/>
      <c r="AO37" s="56"/>
      <c r="AP37" s="56"/>
      <c r="AQ37" s="56"/>
      <c r="AR37" s="373"/>
      <c r="AS37" s="374">
        <f t="shared" si="6"/>
        <v>145696.43066209796</v>
      </c>
      <c r="AT37" s="339"/>
    </row>
    <row r="38" spans="1:46" x14ac:dyDescent="0.2">
      <c r="A38" s="375" t="s">
        <v>17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65"/>
      <c r="Q38" s="65"/>
      <c r="R38" s="65"/>
      <c r="S38" s="65"/>
      <c r="T38" s="65"/>
      <c r="U38" s="65"/>
      <c r="V38" s="65"/>
      <c r="W38" s="377"/>
      <c r="X38" s="377"/>
      <c r="Y38" s="377"/>
      <c r="Z38" s="65">
        <v>11.230659178170185</v>
      </c>
      <c r="AA38" s="65">
        <v>23.922242544698445</v>
      </c>
      <c r="AB38" s="66">
        <v>28.146796995518258</v>
      </c>
      <c r="AC38" s="66">
        <v>50.550494983619096</v>
      </c>
      <c r="AD38" s="66">
        <v>32.94513847358467</v>
      </c>
      <c r="AE38" s="66">
        <v>60.471668645592914</v>
      </c>
      <c r="AF38" s="66">
        <v>128.2948294829483</v>
      </c>
      <c r="AG38" s="66">
        <v>209.66598900000002</v>
      </c>
      <c r="AH38" s="251">
        <v>69.002845500000006</v>
      </c>
      <c r="AI38" s="251">
        <v>71.20078919999996</v>
      </c>
      <c r="AJ38" s="251">
        <v>20.399999999999999</v>
      </c>
      <c r="AK38" s="251">
        <v>93.2</v>
      </c>
      <c r="AL38" s="67">
        <v>247.23285299999998</v>
      </c>
      <c r="AM38" s="67">
        <v>174.982404</v>
      </c>
      <c r="AN38" s="67">
        <v>225.97134000000105</v>
      </c>
      <c r="AO38" s="67">
        <v>249.48858999999931</v>
      </c>
      <c r="AP38" s="67">
        <v>452.49784000000045</v>
      </c>
      <c r="AQ38" s="67">
        <v>847.05920421613268</v>
      </c>
      <c r="AR38" s="68">
        <v>2085.8886600000128</v>
      </c>
      <c r="AS38" s="361">
        <f t="shared" si="6"/>
        <v>5082.1523452202782</v>
      </c>
      <c r="AT38" s="332"/>
    </row>
    <row r="39" spans="1:46" x14ac:dyDescent="0.2">
      <c r="A39" s="378" t="s">
        <v>91</v>
      </c>
      <c r="B39" s="49"/>
      <c r="C39" s="49"/>
      <c r="D39" s="49"/>
      <c r="E39" s="49">
        <v>110.53387863380127</v>
      </c>
      <c r="F39" s="49">
        <v>110.53387863380127</v>
      </c>
      <c r="G39" s="49">
        <v>221.06775726760253</v>
      </c>
      <c r="H39" s="49"/>
      <c r="I39" s="49"/>
      <c r="J39" s="49"/>
      <c r="K39" s="49"/>
      <c r="L39" s="49">
        <v>661.54526362330057</v>
      </c>
      <c r="M39" s="49">
        <v>1076.1136288272355</v>
      </c>
      <c r="N39" s="49">
        <v>787.35492428429325</v>
      </c>
      <c r="O39" s="49">
        <v>513.23090527246609</v>
      </c>
      <c r="P39" s="49">
        <v>310</v>
      </c>
      <c r="Q39" s="49">
        <v>66</v>
      </c>
      <c r="R39" s="49"/>
      <c r="S39" s="49"/>
      <c r="T39" s="49"/>
      <c r="U39" s="49"/>
      <c r="V39" s="49"/>
      <c r="W39" s="221"/>
      <c r="X39" s="221"/>
      <c r="Y39" s="221"/>
      <c r="Z39" s="221"/>
      <c r="AA39" s="221"/>
      <c r="AB39" s="222"/>
      <c r="AC39" s="51"/>
      <c r="AD39" s="51"/>
      <c r="AE39" s="51"/>
      <c r="AF39" s="51"/>
      <c r="AG39" s="51"/>
      <c r="AH39" s="249"/>
      <c r="AI39" s="249"/>
      <c r="AJ39" s="249"/>
      <c r="AK39" s="249"/>
      <c r="AL39" s="52"/>
      <c r="AM39" s="52"/>
      <c r="AN39" s="52"/>
      <c r="AO39" s="52"/>
      <c r="AP39" s="52"/>
      <c r="AQ39" s="52"/>
      <c r="AR39" s="53"/>
      <c r="AS39" s="362">
        <f t="shared" si="6"/>
        <v>3856.3802365425008</v>
      </c>
      <c r="AT39" s="339"/>
    </row>
    <row r="40" spans="1:46" x14ac:dyDescent="0.2">
      <c r="A40" s="378" t="s">
        <v>64</v>
      </c>
      <c r="B40" s="49">
        <v>42654.581629269371</v>
      </c>
      <c r="C40" s="49">
        <v>22908.367414612581</v>
      </c>
      <c r="D40" s="49">
        <v>2027.2797612468221</v>
      </c>
      <c r="E40" s="49">
        <v>2953.7747319553441</v>
      </c>
      <c r="F40" s="49">
        <v>663.33591245716821</v>
      </c>
      <c r="G40" s="49">
        <v>440.49961313142478</v>
      </c>
      <c r="H40" s="49">
        <v>307.19575549906051</v>
      </c>
      <c r="I40" s="49">
        <v>211.03128108765335</v>
      </c>
      <c r="J40" s="49">
        <v>157.04653476290483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221"/>
      <c r="X40" s="221"/>
      <c r="Y40" s="221"/>
      <c r="Z40" s="221"/>
      <c r="AA40" s="221"/>
      <c r="AB40" s="222"/>
      <c r="AC40" s="51"/>
      <c r="AD40" s="51"/>
      <c r="AE40" s="51"/>
      <c r="AF40" s="51"/>
      <c r="AG40" s="51"/>
      <c r="AH40" s="249"/>
      <c r="AI40" s="249"/>
      <c r="AJ40" s="249"/>
      <c r="AK40" s="249"/>
      <c r="AL40" s="52"/>
      <c r="AM40" s="52"/>
      <c r="AN40" s="52"/>
      <c r="AO40" s="52"/>
      <c r="AP40" s="52"/>
      <c r="AQ40" s="52"/>
      <c r="AR40" s="53"/>
      <c r="AS40" s="362">
        <f t="shared" si="6"/>
        <v>72323.112634022342</v>
      </c>
      <c r="AT40" s="339"/>
    </row>
    <row r="41" spans="1:46" x14ac:dyDescent="0.2">
      <c r="A41" s="378" t="s">
        <v>65</v>
      </c>
      <c r="B41" s="49"/>
      <c r="C41" s="49"/>
      <c r="D41" s="49"/>
      <c r="E41" s="49"/>
      <c r="F41" s="49">
        <v>3.9018459157731846</v>
      </c>
      <c r="G41" s="49">
        <v>7.8036918315463693</v>
      </c>
      <c r="H41" s="49">
        <v>15.607383663092739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221"/>
      <c r="X41" s="221"/>
      <c r="Y41" s="221"/>
      <c r="Z41" s="221"/>
      <c r="AA41" s="221"/>
      <c r="AB41" s="222"/>
      <c r="AC41" s="51"/>
      <c r="AD41" s="51"/>
      <c r="AE41" s="51"/>
      <c r="AF41" s="51"/>
      <c r="AG41" s="51"/>
      <c r="AH41" s="249"/>
      <c r="AI41" s="249"/>
      <c r="AJ41" s="249"/>
      <c r="AK41" s="249"/>
      <c r="AL41" s="52"/>
      <c r="AM41" s="52"/>
      <c r="AN41" s="52"/>
      <c r="AO41" s="52"/>
      <c r="AP41" s="52"/>
      <c r="AQ41" s="52"/>
      <c r="AR41" s="53"/>
      <c r="AS41" s="362">
        <f t="shared" si="6"/>
        <v>27.312921410412294</v>
      </c>
      <c r="AT41" s="339"/>
    </row>
    <row r="42" spans="1:46" x14ac:dyDescent="0.2">
      <c r="A42" s="378" t="s">
        <v>66</v>
      </c>
      <c r="B42" s="49"/>
      <c r="C42" s="49"/>
      <c r="D42" s="49">
        <v>1133.1380568144139</v>
      </c>
      <c r="E42" s="49">
        <v>162.6395490217752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221"/>
      <c r="X42" s="221"/>
      <c r="Y42" s="221"/>
      <c r="Z42" s="221"/>
      <c r="AA42" s="221"/>
      <c r="AB42" s="222"/>
      <c r="AC42" s="51"/>
      <c r="AD42" s="51"/>
      <c r="AE42" s="51"/>
      <c r="AF42" s="51"/>
      <c r="AG42" s="51"/>
      <c r="AH42" s="249"/>
      <c r="AI42" s="249"/>
      <c r="AJ42" s="249"/>
      <c r="AK42" s="249"/>
      <c r="AL42" s="52"/>
      <c r="AM42" s="52"/>
      <c r="AN42" s="52"/>
      <c r="AO42" s="52"/>
      <c r="AP42" s="52"/>
      <c r="AQ42" s="52"/>
      <c r="AR42" s="53"/>
      <c r="AS42" s="362">
        <f t="shared" si="6"/>
        <v>1295.777605836189</v>
      </c>
      <c r="AT42" s="339"/>
    </row>
    <row r="43" spans="1:46" x14ac:dyDescent="0.2">
      <c r="A43" s="378" t="s">
        <v>67</v>
      </c>
      <c r="B43" s="49"/>
      <c r="C43" s="49">
        <v>663.49508124240083</v>
      </c>
      <c r="D43" s="49">
        <v>542.44722007295252</v>
      </c>
      <c r="E43" s="49">
        <v>376.99126782358798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221"/>
      <c r="X43" s="221"/>
      <c r="Y43" s="221"/>
      <c r="Z43" s="221"/>
      <c r="AA43" s="221"/>
      <c r="AB43" s="222"/>
      <c r="AC43" s="51"/>
      <c r="AD43" s="51"/>
      <c r="AE43" s="51"/>
      <c r="AF43" s="51"/>
      <c r="AG43" s="51"/>
      <c r="AH43" s="249"/>
      <c r="AI43" s="249"/>
      <c r="AJ43" s="249"/>
      <c r="AK43" s="249"/>
      <c r="AL43" s="52"/>
      <c r="AM43" s="52"/>
      <c r="AN43" s="52"/>
      <c r="AO43" s="52"/>
      <c r="AP43" s="52"/>
      <c r="AQ43" s="52"/>
      <c r="AR43" s="53"/>
      <c r="AS43" s="362">
        <f t="shared" si="6"/>
        <v>1582.9335691389413</v>
      </c>
      <c r="AT43" s="339"/>
    </row>
    <row r="44" spans="1:46" x14ac:dyDescent="0.2">
      <c r="A44" s="378" t="s">
        <v>68</v>
      </c>
      <c r="B44" s="49">
        <v>5904.8303304962965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221"/>
      <c r="X44" s="221"/>
      <c r="Y44" s="221"/>
      <c r="Z44" s="221"/>
      <c r="AA44" s="221"/>
      <c r="AB44" s="222"/>
      <c r="AC44" s="51"/>
      <c r="AD44" s="51"/>
      <c r="AE44" s="51"/>
      <c r="AF44" s="51"/>
      <c r="AG44" s="51"/>
      <c r="AH44" s="249"/>
      <c r="AI44" s="249"/>
      <c r="AJ44" s="249"/>
      <c r="AK44" s="249"/>
      <c r="AL44" s="52"/>
      <c r="AM44" s="52"/>
      <c r="AN44" s="52"/>
      <c r="AO44" s="52"/>
      <c r="AP44" s="52"/>
      <c r="AQ44" s="52"/>
      <c r="AR44" s="53"/>
      <c r="AS44" s="362">
        <f t="shared" si="6"/>
        <v>5904.8303304962965</v>
      </c>
      <c r="AT44" s="339"/>
    </row>
    <row r="45" spans="1:46" x14ac:dyDescent="0.2">
      <c r="A45" s="378" t="s">
        <v>69</v>
      </c>
      <c r="B45" s="49"/>
      <c r="C45" s="49">
        <v>221.06775726760253</v>
      </c>
      <c r="D45" s="49">
        <v>1768.5420581408202</v>
      </c>
      <c r="E45" s="49">
        <v>1989.6098154084227</v>
      </c>
      <c r="F45" s="49">
        <v>3316.0163590140378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221"/>
      <c r="X45" s="221"/>
      <c r="Y45" s="221"/>
      <c r="Z45" s="221"/>
      <c r="AA45" s="221"/>
      <c r="AB45" s="222"/>
      <c r="AC45" s="51"/>
      <c r="AD45" s="51"/>
      <c r="AE45" s="51"/>
      <c r="AF45" s="51"/>
      <c r="AG45" s="51"/>
      <c r="AH45" s="249"/>
      <c r="AI45" s="249"/>
      <c r="AJ45" s="249"/>
      <c r="AK45" s="249"/>
      <c r="AL45" s="52"/>
      <c r="AM45" s="52"/>
      <c r="AN45" s="52"/>
      <c r="AO45" s="52"/>
      <c r="AP45" s="52"/>
      <c r="AQ45" s="52"/>
      <c r="AR45" s="53"/>
      <c r="AS45" s="362">
        <f t="shared" si="6"/>
        <v>7295.2359898308832</v>
      </c>
      <c r="AT45" s="339"/>
    </row>
    <row r="46" spans="1:46" ht="12" thickBot="1" x14ac:dyDescent="0.25">
      <c r="A46" s="379" t="s">
        <v>70</v>
      </c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1"/>
      <c r="X46" s="381"/>
      <c r="Y46" s="381"/>
      <c r="Z46" s="381"/>
      <c r="AA46" s="381"/>
      <c r="AB46" s="382"/>
      <c r="AC46" s="252"/>
      <c r="AD46" s="252"/>
      <c r="AE46" s="252"/>
      <c r="AF46" s="252">
        <v>282.15621562156201</v>
      </c>
      <c r="AG46" s="252">
        <v>629.52852456000028</v>
      </c>
      <c r="AH46" s="85">
        <v>599.41874945999984</v>
      </c>
      <c r="AI46" s="85">
        <v>692.43360297999982</v>
      </c>
      <c r="AJ46" s="85">
        <v>238.7</v>
      </c>
      <c r="AK46" s="85">
        <v>2.86109978</v>
      </c>
      <c r="AL46" s="253"/>
      <c r="AM46" s="253"/>
      <c r="AN46" s="253"/>
      <c r="AO46" s="253"/>
      <c r="AP46" s="253"/>
      <c r="AQ46" s="253"/>
      <c r="AR46" s="254"/>
      <c r="AS46" s="383">
        <f t="shared" si="6"/>
        <v>2445.0981924015618</v>
      </c>
      <c r="AT46" s="332"/>
    </row>
    <row r="47" spans="1:46" s="353" customFormat="1" ht="12.75" thickTop="1" thickBot="1" x14ac:dyDescent="0.25">
      <c r="A47" s="255" t="s">
        <v>92</v>
      </c>
      <c r="B47" s="256">
        <f>+B28+B29+B33+B34+B35+B38+B39+B40+B41+B42+B43+B44+B45+B46</f>
        <v>48631.258980877639</v>
      </c>
      <c r="C47" s="256">
        <f t="shared" ref="C47:AR47" si="7">+C28+C29+C33+C34+C35+C38+C39+C40+C41+C42+C43+C44+C45+C46</f>
        <v>42552.740134851338</v>
      </c>
      <c r="D47" s="256">
        <f t="shared" si="7"/>
        <v>26698.554216867476</v>
      </c>
      <c r="E47" s="256">
        <f t="shared" si="7"/>
        <v>51794.676688405001</v>
      </c>
      <c r="F47" s="256">
        <f t="shared" si="7"/>
        <v>64707.593677462144</v>
      </c>
      <c r="G47" s="256">
        <f t="shared" si="7"/>
        <v>74474.687741792877</v>
      </c>
      <c r="H47" s="256">
        <f t="shared" si="7"/>
        <v>75934.641317563844</v>
      </c>
      <c r="I47" s="256">
        <f t="shared" si="7"/>
        <v>38490.803581297674</v>
      </c>
      <c r="J47" s="256">
        <f t="shared" si="7"/>
        <v>29668.4867912015</v>
      </c>
      <c r="K47" s="256">
        <f t="shared" si="7"/>
        <v>32915.607383663097</v>
      </c>
      <c r="L47" s="256">
        <f t="shared" si="7"/>
        <v>34177.108433734938</v>
      </c>
      <c r="M47" s="256">
        <f t="shared" si="7"/>
        <v>35127.312921410412</v>
      </c>
      <c r="N47" s="256">
        <f t="shared" si="7"/>
        <v>25603.346965845034</v>
      </c>
      <c r="O47" s="256">
        <f t="shared" si="7"/>
        <v>35750.458715596331</v>
      </c>
      <c r="P47" s="256">
        <f t="shared" si="7"/>
        <v>33858.6</v>
      </c>
      <c r="Q47" s="256">
        <f t="shared" si="7"/>
        <v>45046</v>
      </c>
      <c r="R47" s="256">
        <f t="shared" si="7"/>
        <v>57894</v>
      </c>
      <c r="S47" s="256">
        <f t="shared" si="7"/>
        <v>35401</v>
      </c>
      <c r="T47" s="256">
        <f t="shared" si="7"/>
        <v>30163</v>
      </c>
      <c r="U47" s="256">
        <f t="shared" si="7"/>
        <v>24445</v>
      </c>
      <c r="V47" s="256">
        <f t="shared" si="7"/>
        <v>41169</v>
      </c>
      <c r="W47" s="256">
        <f t="shared" si="7"/>
        <v>46395</v>
      </c>
      <c r="X47" s="256">
        <f t="shared" si="7"/>
        <v>20632</v>
      </c>
      <c r="Y47" s="256">
        <f t="shared" si="7"/>
        <v>16655.534075216921</v>
      </c>
      <c r="Z47" s="256">
        <f t="shared" si="7"/>
        <v>16277.00715821518</v>
      </c>
      <c r="AA47" s="256">
        <f t="shared" si="7"/>
        <v>20484.452133578285</v>
      </c>
      <c r="AB47" s="256">
        <f t="shared" si="7"/>
        <v>23835.119816980361</v>
      </c>
      <c r="AC47" s="256">
        <f t="shared" si="7"/>
        <v>22153.053182129795</v>
      </c>
      <c r="AD47" s="256">
        <f t="shared" si="7"/>
        <v>21336.63819970805</v>
      </c>
      <c r="AE47" s="72">
        <f t="shared" si="7"/>
        <v>30499.617101704396</v>
      </c>
      <c r="AF47" s="72">
        <f t="shared" si="7"/>
        <v>37203.72805911272</v>
      </c>
      <c r="AG47" s="72">
        <f t="shared" si="7"/>
        <v>25815.144881390002</v>
      </c>
      <c r="AH47" s="72">
        <f t="shared" si="7"/>
        <v>24689.225062449295</v>
      </c>
      <c r="AI47" s="72">
        <f t="shared" si="7"/>
        <v>29989.491761920002</v>
      </c>
      <c r="AJ47" s="72">
        <f t="shared" si="7"/>
        <v>22724.400000000001</v>
      </c>
      <c r="AK47" s="72">
        <f t="shared" si="7"/>
        <v>2956.0158130861159</v>
      </c>
      <c r="AL47" s="72">
        <f t="shared" si="7"/>
        <v>2948.7486771799995</v>
      </c>
      <c r="AM47" s="72">
        <f t="shared" si="7"/>
        <v>3015.2694462241011</v>
      </c>
      <c r="AN47" s="72">
        <f t="shared" si="7"/>
        <v>3323.4611609398935</v>
      </c>
      <c r="AO47" s="72">
        <f t="shared" si="7"/>
        <v>1748.7650182320938</v>
      </c>
      <c r="AP47" s="72">
        <f t="shared" si="7"/>
        <v>2034.4731401005449</v>
      </c>
      <c r="AQ47" s="72">
        <f t="shared" si="7"/>
        <v>5573.5380239429523</v>
      </c>
      <c r="AR47" s="73">
        <f t="shared" si="7"/>
        <v>8585.4678750864623</v>
      </c>
      <c r="AS47" s="241">
        <f t="shared" si="6"/>
        <v>1273380.0281377665</v>
      </c>
    </row>
    <row r="48" spans="1:46" ht="12" thickTop="1" x14ac:dyDescent="0.2">
      <c r="A48" s="354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242"/>
      <c r="AF48" s="242"/>
      <c r="AG48" s="242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2">
        <f>+AS28+AS29+AS34+AS35+AS38+AS39+AS40+AS41+AS42+AS43+AS44+AS45+AS46</f>
        <v>1273380.0281377663</v>
      </c>
      <c r="AT48" s="339"/>
    </row>
    <row r="49" spans="1:46" ht="12" thickBot="1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257"/>
      <c r="AT49" s="384"/>
    </row>
    <row r="50" spans="1:46" ht="12" thickBot="1" x14ac:dyDescent="0.25">
      <c r="L50" s="339"/>
      <c r="M50" s="39"/>
      <c r="N50" s="339"/>
      <c r="O50" s="339"/>
      <c r="P50" s="40"/>
      <c r="Q50" s="339"/>
      <c r="R50" s="41"/>
      <c r="S50" s="41"/>
      <c r="T50" s="339"/>
      <c r="AB50" s="385"/>
      <c r="AC50" s="385"/>
      <c r="AD50" s="309"/>
      <c r="AE50" s="311">
        <v>0.93210000000000004</v>
      </c>
      <c r="AF50" s="311">
        <v>0.93079999999999996</v>
      </c>
      <c r="AG50" s="311">
        <v>1.06732</v>
      </c>
      <c r="AH50" s="386">
        <v>1.0623800000000001</v>
      </c>
      <c r="AI50" s="386">
        <v>1.06107</v>
      </c>
      <c r="AJ50" s="386">
        <v>1.06006</v>
      </c>
      <c r="AK50" s="386">
        <v>1.0535699999999999</v>
      </c>
      <c r="AL50" s="386">
        <v>1.0483499999999999</v>
      </c>
      <c r="AM50" s="386">
        <v>1.0483</v>
      </c>
      <c r="AN50" s="386">
        <v>1.0510999999999999</v>
      </c>
      <c r="AO50" s="386">
        <v>1.0469999999999999</v>
      </c>
      <c r="AP50" s="386">
        <v>1.0495000000000001</v>
      </c>
      <c r="AQ50" s="386">
        <v>1.0531999999999999</v>
      </c>
      <c r="AR50" s="386">
        <v>1.0508</v>
      </c>
      <c r="AS50" s="42"/>
    </row>
    <row r="51" spans="1:46" s="310" customFormat="1" ht="45.75" thickBot="1" x14ac:dyDescent="0.25">
      <c r="A51" s="314" t="s">
        <v>93</v>
      </c>
      <c r="B51" s="315">
        <v>1981</v>
      </c>
      <c r="C51" s="315">
        <v>1982</v>
      </c>
      <c r="D51" s="316">
        <v>1983</v>
      </c>
      <c r="E51" s="316">
        <v>1984</v>
      </c>
      <c r="F51" s="316">
        <v>1985</v>
      </c>
      <c r="G51" s="316">
        <v>1986</v>
      </c>
      <c r="H51" s="316">
        <v>1987</v>
      </c>
      <c r="I51" s="316">
        <v>1988</v>
      </c>
      <c r="J51" s="316">
        <v>1989</v>
      </c>
      <c r="K51" s="317" t="s">
        <v>35</v>
      </c>
      <c r="L51" s="316" t="s">
        <v>36</v>
      </c>
      <c r="M51" s="316">
        <v>1992</v>
      </c>
      <c r="N51" s="316">
        <v>1993</v>
      </c>
      <c r="O51" s="316">
        <v>1994</v>
      </c>
      <c r="P51" s="316">
        <v>1995</v>
      </c>
      <c r="Q51" s="316">
        <v>1996</v>
      </c>
      <c r="R51" s="316">
        <v>1997</v>
      </c>
      <c r="S51" s="316">
        <v>1998</v>
      </c>
      <c r="T51" s="316">
        <v>1999</v>
      </c>
      <c r="U51" s="315">
        <v>2000</v>
      </c>
      <c r="V51" s="315">
        <v>2001</v>
      </c>
      <c r="W51" s="318">
        <v>2002</v>
      </c>
      <c r="X51" s="316">
        <v>2003</v>
      </c>
      <c r="Y51" s="318">
        <v>2004</v>
      </c>
      <c r="Z51" s="316">
        <v>2005</v>
      </c>
      <c r="AA51" s="316">
        <v>2006</v>
      </c>
      <c r="AB51" s="387">
        <v>2007</v>
      </c>
      <c r="AC51" s="311" t="s">
        <v>94</v>
      </c>
      <c r="AD51" s="311" t="s">
        <v>95</v>
      </c>
      <c r="AE51" s="311" t="s">
        <v>96</v>
      </c>
      <c r="AF51" s="311" t="s">
        <v>97</v>
      </c>
      <c r="AG51" s="311" t="s">
        <v>98</v>
      </c>
      <c r="AH51" s="388" t="s">
        <v>99</v>
      </c>
      <c r="AI51" s="388" t="s">
        <v>100</v>
      </c>
      <c r="AJ51" s="388" t="s">
        <v>101</v>
      </c>
      <c r="AK51" s="388" t="s">
        <v>102</v>
      </c>
      <c r="AL51" s="388" t="s">
        <v>103</v>
      </c>
      <c r="AM51" s="388" t="s">
        <v>104</v>
      </c>
      <c r="AN51" s="388" t="s">
        <v>105</v>
      </c>
      <c r="AO51" s="388" t="s">
        <v>106</v>
      </c>
      <c r="AP51" s="388" t="s">
        <v>107</v>
      </c>
      <c r="AQ51" s="388" t="s">
        <v>108</v>
      </c>
      <c r="AR51" s="388" t="s">
        <v>109</v>
      </c>
      <c r="AS51" s="322" t="s">
        <v>110</v>
      </c>
    </row>
    <row r="52" spans="1:46" ht="12" thickBot="1" x14ac:dyDescent="0.25">
      <c r="A52" s="389" t="s">
        <v>54</v>
      </c>
      <c r="B52" s="390"/>
      <c r="C52" s="390"/>
      <c r="D52" s="229"/>
      <c r="E52" s="229"/>
      <c r="F52" s="229"/>
      <c r="G52" s="229"/>
      <c r="H52" s="229"/>
      <c r="I52" s="229"/>
      <c r="J52" s="229"/>
      <c r="K52" s="391"/>
      <c r="L52" s="229"/>
      <c r="M52" s="43"/>
      <c r="N52" s="43"/>
      <c r="O52" s="43"/>
      <c r="P52" s="43"/>
      <c r="Q52" s="43"/>
      <c r="R52" s="43"/>
      <c r="S52" s="43">
        <v>497469</v>
      </c>
      <c r="T52" s="43">
        <v>478208</v>
      </c>
      <c r="U52" s="43">
        <v>976093</v>
      </c>
      <c r="V52" s="44">
        <v>1683799</v>
      </c>
      <c r="W52" s="45">
        <v>1757438</v>
      </c>
      <c r="X52" s="43">
        <v>2357052</v>
      </c>
      <c r="Y52" s="45">
        <v>3938837.1378000844</v>
      </c>
      <c r="Z52" s="43">
        <v>4748337.363547476</v>
      </c>
      <c r="AA52" s="43">
        <v>8486123.8757641464</v>
      </c>
      <c r="AB52" s="45">
        <v>8475358.6910749339</v>
      </c>
      <c r="AC52" s="46">
        <v>4772637.0974488072</v>
      </c>
      <c r="AD52" s="46">
        <v>3049940.5374449533</v>
      </c>
      <c r="AE52" s="46">
        <v>3868443.6848816029</v>
      </c>
      <c r="AF52" s="46">
        <v>3896981.5265104584</v>
      </c>
      <c r="AG52" s="46">
        <v>4215397.7998619759</v>
      </c>
      <c r="AH52" s="47">
        <v>3139479.5084399995</v>
      </c>
      <c r="AI52" s="47">
        <v>4486640.8782254281</v>
      </c>
      <c r="AJ52" s="47">
        <f>4.27*1000000</f>
        <v>4270000</v>
      </c>
      <c r="AK52" s="47">
        <v>2760185.8823699998</v>
      </c>
      <c r="AL52" s="47">
        <v>2966830.4999999995</v>
      </c>
      <c r="AM52" s="47">
        <v>3834087.0139000001</v>
      </c>
      <c r="AN52" s="47">
        <v>3911774.8110999996</v>
      </c>
      <c r="AO52" s="47">
        <v>3881469.81</v>
      </c>
      <c r="AP52" s="47">
        <v>4124455.2380000004</v>
      </c>
      <c r="AQ52" s="47">
        <v>5100822.4311999986</v>
      </c>
      <c r="AR52" s="48">
        <v>3954970.5667999992</v>
      </c>
      <c r="AS52" s="360">
        <f>SUM(B52:AR52)</f>
        <v>95632833.354369894</v>
      </c>
      <c r="AT52" s="332"/>
    </row>
    <row r="53" spans="1:46" s="310" customFormat="1" x14ac:dyDescent="0.2">
      <c r="A53" s="327" t="s">
        <v>55</v>
      </c>
      <c r="B53" s="328">
        <v>267095.17122177815</v>
      </c>
      <c r="C53" s="328">
        <v>10826671.707896728</v>
      </c>
      <c r="D53" s="328">
        <v>14752349.573295884</v>
      </c>
      <c r="E53" s="328">
        <v>34182594.793129526</v>
      </c>
      <c r="F53" s="328">
        <v>45499984.87630982</v>
      </c>
      <c r="G53" s="328">
        <v>43855994.382629365</v>
      </c>
      <c r="H53" s="328">
        <v>41188387.16646862</v>
      </c>
      <c r="I53" s="328">
        <v>31771999.567894567</v>
      </c>
      <c r="J53" s="328">
        <v>24684229.231932592</v>
      </c>
      <c r="K53" s="328">
        <v>27500283.02905909</v>
      </c>
      <c r="L53" s="328">
        <f>SUM(L54:L56)</f>
        <v>15267961.542616399</v>
      </c>
      <c r="M53" s="328">
        <f t="shared" ref="M53:AC53" si="8">SUM(M54:M56)</f>
        <v>20900790.752943721</v>
      </c>
      <c r="N53" s="328">
        <f t="shared" si="8"/>
        <v>12387009.830398617</v>
      </c>
      <c r="O53" s="328">
        <f t="shared" si="8"/>
        <v>11844323.214864427</v>
      </c>
      <c r="P53" s="328">
        <f t="shared" si="8"/>
        <v>10050842</v>
      </c>
      <c r="Q53" s="328">
        <f t="shared" si="8"/>
        <v>30666699</v>
      </c>
      <c r="R53" s="328">
        <f t="shared" si="8"/>
        <v>41723117</v>
      </c>
      <c r="S53" s="66">
        <f t="shared" si="8"/>
        <v>17331274</v>
      </c>
      <c r="T53" s="66">
        <f t="shared" si="8"/>
        <v>9216874</v>
      </c>
      <c r="U53" s="66">
        <f t="shared" si="8"/>
        <v>7866056</v>
      </c>
      <c r="V53" s="66">
        <f t="shared" si="8"/>
        <v>16249762</v>
      </c>
      <c r="W53" s="66">
        <f t="shared" si="8"/>
        <v>18907984</v>
      </c>
      <c r="X53" s="66">
        <f t="shared" si="8"/>
        <v>11183854</v>
      </c>
      <c r="Y53" s="66">
        <f t="shared" si="8"/>
        <v>5663784.3440334741</v>
      </c>
      <c r="Z53" s="66">
        <f t="shared" si="8"/>
        <v>2942134.859420741</v>
      </c>
      <c r="AA53" s="66">
        <f t="shared" si="8"/>
        <v>3252917.7919412339</v>
      </c>
      <c r="AB53" s="66">
        <f t="shared" si="8"/>
        <v>11966782.636794485</v>
      </c>
      <c r="AC53" s="66">
        <f t="shared" si="8"/>
        <v>46848568.807339452</v>
      </c>
      <c r="AD53" s="66">
        <v>13552774.428954689</v>
      </c>
      <c r="AE53" s="66">
        <v>13163820.635991804</v>
      </c>
      <c r="AF53" s="66">
        <v>27158845.048103929</v>
      </c>
      <c r="AG53" s="66">
        <f>SUM(AG54:AG56)</f>
        <v>7839017.8620508006</v>
      </c>
      <c r="AH53" s="67">
        <f>+AH54+AH55+AH56</f>
        <v>5685882.2345467294</v>
      </c>
      <c r="AI53" s="67">
        <f>+AI54+AI55+AI56</f>
        <v>6257204.5065800324</v>
      </c>
      <c r="AJ53" s="67">
        <f>+AJ54+AJ55+AJ56</f>
        <v>6410000</v>
      </c>
      <c r="AK53" s="67">
        <v>2568427.7138099996</v>
      </c>
      <c r="AL53" s="67">
        <v>2609096.7877499997</v>
      </c>
      <c r="AM53" s="67">
        <v>2609574.0737000001</v>
      </c>
      <c r="AN53" s="67">
        <v>2885171.7477000104</v>
      </c>
      <c r="AO53" s="67">
        <v>1132755.5819999992</v>
      </c>
      <c r="AP53" s="67">
        <v>1184638.8675000002</v>
      </c>
      <c r="AQ53" s="67">
        <v>3367029.8463999997</v>
      </c>
      <c r="AR53" s="68">
        <v>5949562.3488000007</v>
      </c>
      <c r="AS53" s="361">
        <f t="shared" ref="AS53:AS71" si="9">SUM(B53:AR53)</f>
        <v>671174126.96407843</v>
      </c>
      <c r="AT53" s="359"/>
    </row>
    <row r="54" spans="1:46" x14ac:dyDescent="0.2">
      <c r="A54" s="333" t="s">
        <v>16</v>
      </c>
      <c r="B54" s="267">
        <v>267095.17122177815</v>
      </c>
      <c r="C54" s="267">
        <v>10826671.707896728</v>
      </c>
      <c r="D54" s="267">
        <v>14752349.573295884</v>
      </c>
      <c r="E54" s="267">
        <v>34182594.793129526</v>
      </c>
      <c r="F54" s="267">
        <v>45499984.87630982</v>
      </c>
      <c r="G54" s="267">
        <v>43855994.382629365</v>
      </c>
      <c r="H54" s="267">
        <v>41188387.16646862</v>
      </c>
      <c r="I54" s="267">
        <v>31771999.567894567</v>
      </c>
      <c r="J54" s="267">
        <v>24684229.231932592</v>
      </c>
      <c r="K54" s="267">
        <v>27500283.02905909</v>
      </c>
      <c r="L54" s="267">
        <v>15267961.542616399</v>
      </c>
      <c r="M54" s="267">
        <v>20900790.752943721</v>
      </c>
      <c r="N54" s="267">
        <v>12387009.830398617</v>
      </c>
      <c r="O54" s="49">
        <v>11844323.214864427</v>
      </c>
      <c r="P54" s="49">
        <v>10050842</v>
      </c>
      <c r="Q54" s="49">
        <v>30666699</v>
      </c>
      <c r="R54" s="49">
        <v>41723117</v>
      </c>
      <c r="S54" s="50">
        <v>17331274</v>
      </c>
      <c r="T54" s="50">
        <v>9216874</v>
      </c>
      <c r="U54" s="50">
        <v>7866056</v>
      </c>
      <c r="V54" s="50">
        <v>16249762</v>
      </c>
      <c r="W54" s="50">
        <v>18907984</v>
      </c>
      <c r="X54" s="50">
        <v>11183854</v>
      </c>
      <c r="Y54" s="50">
        <v>5663784.3440334741</v>
      </c>
      <c r="Z54" s="50">
        <v>2942134.859420741</v>
      </c>
      <c r="AA54" s="50">
        <v>2769429.6208274821</v>
      </c>
      <c r="AB54" s="50">
        <v>6376635.0710900472</v>
      </c>
      <c r="AC54" s="51">
        <v>5611038.3162439289</v>
      </c>
      <c r="AD54" s="51">
        <v>5045450.3624351863</v>
      </c>
      <c r="AE54" s="51">
        <v>6602247.9028239213</v>
      </c>
      <c r="AF54" s="51">
        <v>5813765.1427108683</v>
      </c>
      <c r="AG54" s="51">
        <v>3930000</v>
      </c>
      <c r="AH54" s="52">
        <v>3178653.7085600006</v>
      </c>
      <c r="AI54" s="52">
        <v>3427132.8117444366</v>
      </c>
      <c r="AJ54" s="52">
        <f>4.46*1000000</f>
        <v>4460000</v>
      </c>
      <c r="AK54" s="52">
        <v>2543474.9619299998</v>
      </c>
      <c r="AL54" s="52">
        <v>2609096.7877499997</v>
      </c>
      <c r="AM54" s="52">
        <v>2609574.0737000001</v>
      </c>
      <c r="AN54" s="52">
        <v>2885171.7477000104</v>
      </c>
      <c r="AO54" s="52">
        <v>1132755.5819999992</v>
      </c>
      <c r="AP54" s="52">
        <v>1184638.8675000002</v>
      </c>
      <c r="AQ54" s="52">
        <v>3367029.8463999997</v>
      </c>
      <c r="AR54" s="53">
        <v>5949562.3488000007</v>
      </c>
      <c r="AS54" s="362">
        <f t="shared" si="9"/>
        <v>576227713.19633114</v>
      </c>
    </row>
    <row r="55" spans="1:46" x14ac:dyDescent="0.2">
      <c r="A55" s="333" t="s">
        <v>56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50"/>
      <c r="Y55" s="50">
        <v>0</v>
      </c>
      <c r="Z55" s="50">
        <v>0</v>
      </c>
      <c r="AA55" s="50">
        <v>0</v>
      </c>
      <c r="AB55" s="50">
        <v>5251311.9345109863</v>
      </c>
      <c r="AC55" s="51">
        <v>40781709.660010792</v>
      </c>
      <c r="AD55" s="51">
        <v>481632.45474018517</v>
      </c>
      <c r="AE55" s="51">
        <v>5719037.8211678825</v>
      </c>
      <c r="AF55" s="51">
        <v>20616351.929458376</v>
      </c>
      <c r="AG55" s="51">
        <v>3211561.4920508005</v>
      </c>
      <c r="AH55" s="52">
        <v>1851788.935466731</v>
      </c>
      <c r="AI55" s="52">
        <v>1964579.0444491531</v>
      </c>
      <c r="AJ55" s="52">
        <f>1.01*1000000</f>
        <v>1010000</v>
      </c>
      <c r="AK55" s="52">
        <v>24952.75188</v>
      </c>
      <c r="AL55" s="52"/>
      <c r="AM55" s="52"/>
      <c r="AN55" s="52"/>
      <c r="AO55" s="52"/>
      <c r="AP55" s="52"/>
      <c r="AQ55" s="52"/>
      <c r="AR55" s="53"/>
      <c r="AS55" s="362">
        <f t="shared" si="9"/>
        <v>80912926.023734912</v>
      </c>
    </row>
    <row r="56" spans="1:46" ht="12" thickBot="1" x14ac:dyDescent="0.25">
      <c r="A56" s="335" t="s">
        <v>57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54"/>
      <c r="T56" s="54"/>
      <c r="U56" s="54"/>
      <c r="V56" s="54"/>
      <c r="W56" s="54"/>
      <c r="X56" s="54"/>
      <c r="Y56" s="54">
        <v>0</v>
      </c>
      <c r="Z56" s="54">
        <v>0</v>
      </c>
      <c r="AA56" s="54">
        <v>483488.17111375177</v>
      </c>
      <c r="AB56" s="54">
        <v>338835.63119345112</v>
      </c>
      <c r="AC56" s="55">
        <v>455820.83108472748</v>
      </c>
      <c r="AD56" s="55">
        <v>8025691.6117793173</v>
      </c>
      <c r="AE56" s="55">
        <v>842534.91200000001</v>
      </c>
      <c r="AF56" s="55">
        <v>728727.97593467985</v>
      </c>
      <c r="AG56" s="55">
        <v>697456.37</v>
      </c>
      <c r="AH56" s="56">
        <v>655439.59051999706</v>
      </c>
      <c r="AI56" s="56">
        <v>865492.6503864429</v>
      </c>
      <c r="AJ56" s="56">
        <f>0.94*1000000</f>
        <v>940000</v>
      </c>
      <c r="AK56" s="52"/>
      <c r="AL56" s="52"/>
      <c r="AM56" s="52"/>
      <c r="AN56" s="52"/>
      <c r="AO56" s="52"/>
      <c r="AP56" s="52"/>
      <c r="AQ56" s="52"/>
      <c r="AR56" s="254"/>
      <c r="AS56" s="374">
        <f t="shared" si="9"/>
        <v>14033487.744012367</v>
      </c>
    </row>
    <row r="57" spans="1:46" ht="12" thickBot="1" x14ac:dyDescent="0.25">
      <c r="A57" s="337" t="s">
        <v>111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392">
        <v>5123112.2393864105</v>
      </c>
      <c r="M57" s="392">
        <v>4544290.8069568975</v>
      </c>
      <c r="N57" s="392">
        <v>244954.08879766663</v>
      </c>
      <c r="O57" s="392">
        <v>236125.09452306363</v>
      </c>
      <c r="P57" s="392">
        <v>222108</v>
      </c>
      <c r="Q57" s="229"/>
      <c r="R57" s="229"/>
      <c r="S57" s="43"/>
      <c r="T57" s="43"/>
      <c r="U57" s="43"/>
      <c r="V57" s="43"/>
      <c r="W57" s="43"/>
      <c r="X57" s="43"/>
      <c r="Y57" s="43">
        <v>0</v>
      </c>
      <c r="Z57" s="43">
        <v>0</v>
      </c>
      <c r="AA57" s="43"/>
      <c r="AB57" s="43"/>
      <c r="AC57" s="46"/>
      <c r="AD57" s="46"/>
      <c r="AE57" s="46"/>
      <c r="AF57" s="46"/>
      <c r="AG57" s="46"/>
      <c r="AH57" s="47"/>
      <c r="AI57" s="47"/>
      <c r="AJ57" s="47"/>
      <c r="AK57" s="47"/>
      <c r="AL57" s="47">
        <v>0</v>
      </c>
      <c r="AM57" s="47">
        <v>0</v>
      </c>
      <c r="AN57" s="47"/>
      <c r="AO57" s="47"/>
      <c r="AP57" s="47"/>
      <c r="AQ57" s="47"/>
      <c r="AR57" s="48"/>
      <c r="AS57" s="360">
        <f t="shared" si="9"/>
        <v>10370590.229664037</v>
      </c>
    </row>
    <row r="58" spans="1:46" ht="12" thickBot="1" x14ac:dyDescent="0.25">
      <c r="A58" s="323" t="s">
        <v>90</v>
      </c>
      <c r="B58" s="57"/>
      <c r="C58" s="57"/>
      <c r="D58" s="57"/>
      <c r="E58" s="57"/>
      <c r="F58" s="57"/>
      <c r="G58" s="57"/>
      <c r="H58" s="57"/>
      <c r="I58" s="57"/>
      <c r="J58" s="57"/>
      <c r="K58" s="324"/>
      <c r="L58" s="393">
        <v>11173352.057902129</v>
      </c>
      <c r="M58" s="393">
        <v>20134825.537431132</v>
      </c>
      <c r="N58" s="393">
        <v>57740131.792157285</v>
      </c>
      <c r="O58" s="393">
        <v>65811468.078211084</v>
      </c>
      <c r="P58" s="393">
        <v>79068600</v>
      </c>
      <c r="Q58" s="393">
        <v>134867648</v>
      </c>
      <c r="R58" s="393">
        <v>165614165</v>
      </c>
      <c r="S58" s="393">
        <v>126449471</v>
      </c>
      <c r="T58" s="57">
        <v>147304567</v>
      </c>
      <c r="U58" s="57">
        <v>116570401</v>
      </c>
      <c r="V58" s="58">
        <v>88219008</v>
      </c>
      <c r="W58" s="59">
        <v>93613508</v>
      </c>
      <c r="X58" s="57">
        <v>69647984</v>
      </c>
      <c r="Y58" s="60">
        <v>82677332.119715139</v>
      </c>
      <c r="Z58" s="61">
        <v>86111373.689502835</v>
      </c>
      <c r="AA58" s="61">
        <v>89169056.549133822</v>
      </c>
      <c r="AB58" s="60">
        <v>31241976.994280897</v>
      </c>
      <c r="AC58" s="62">
        <v>52041340.376148276</v>
      </c>
      <c r="AD58" s="62">
        <v>75616363.190945536</v>
      </c>
      <c r="AE58" s="62">
        <v>119226482.86811528</v>
      </c>
      <c r="AF58" s="62">
        <v>159481861.41832989</v>
      </c>
      <c r="AG58" s="62">
        <v>122418402.03999999</v>
      </c>
      <c r="AH58" s="63">
        <v>123706174.22604385</v>
      </c>
      <c r="AI58" s="63">
        <v>136733295.08498704</v>
      </c>
      <c r="AJ58" s="63">
        <f>90.44*1000000</f>
        <v>90440000</v>
      </c>
      <c r="AK58" s="63">
        <v>16405252</v>
      </c>
      <c r="AL58" s="63">
        <v>16427644.5</v>
      </c>
      <c r="AM58" s="63">
        <v>14392525.512309995</v>
      </c>
      <c r="AN58" s="63">
        <v>12987960.980870103</v>
      </c>
      <c r="AO58" s="63">
        <v>13093625.682900123</v>
      </c>
      <c r="AP58" s="63">
        <v>11878741.191700101</v>
      </c>
      <c r="AQ58" s="63">
        <v>16200778.119640047</v>
      </c>
      <c r="AR58" s="64">
        <v>8199971.2857201323</v>
      </c>
      <c r="AS58" s="371">
        <f t="shared" si="9"/>
        <v>2454665287.2960443</v>
      </c>
      <c r="AT58" s="332"/>
    </row>
    <row r="59" spans="1:46" x14ac:dyDescent="0.2">
      <c r="A59" s="327" t="s">
        <v>60</v>
      </c>
      <c r="B59" s="376">
        <f>SUM(B60:B61)</f>
        <v>0</v>
      </c>
      <c r="C59" s="376">
        <f t="shared" ref="C59:AC59" si="10">SUM(C60:C61)</f>
        <v>0</v>
      </c>
      <c r="D59" s="376">
        <f t="shared" si="10"/>
        <v>0</v>
      </c>
      <c r="E59" s="376">
        <f t="shared" si="10"/>
        <v>0</v>
      </c>
      <c r="F59" s="376">
        <f t="shared" si="10"/>
        <v>0</v>
      </c>
      <c r="G59" s="376">
        <f t="shared" si="10"/>
        <v>0</v>
      </c>
      <c r="H59" s="376">
        <f t="shared" si="10"/>
        <v>0</v>
      </c>
      <c r="I59" s="376">
        <f t="shared" si="10"/>
        <v>0</v>
      </c>
      <c r="J59" s="376">
        <f t="shared" si="10"/>
        <v>0</v>
      </c>
      <c r="K59" s="376">
        <f t="shared" si="10"/>
        <v>0</v>
      </c>
      <c r="L59" s="328">
        <f t="shared" si="10"/>
        <v>45253313.168413095</v>
      </c>
      <c r="M59" s="328">
        <f t="shared" si="10"/>
        <v>16051031.65172302</v>
      </c>
      <c r="N59" s="328">
        <f t="shared" si="10"/>
        <v>17300259.263260238</v>
      </c>
      <c r="O59" s="328">
        <f t="shared" si="10"/>
        <v>25413957.005509347</v>
      </c>
      <c r="P59" s="328">
        <f t="shared" si="10"/>
        <v>24236554</v>
      </c>
      <c r="Q59" s="66">
        <f t="shared" si="10"/>
        <v>27883825.575607657</v>
      </c>
      <c r="R59" s="328">
        <f t="shared" si="10"/>
        <v>33732294</v>
      </c>
      <c r="S59" s="328">
        <f t="shared" si="10"/>
        <v>16819275</v>
      </c>
      <c r="T59" s="328">
        <f t="shared" si="10"/>
        <v>10497541</v>
      </c>
      <c r="U59" s="328">
        <f t="shared" si="10"/>
        <v>6482862</v>
      </c>
      <c r="V59" s="328">
        <f t="shared" si="10"/>
        <v>9439735</v>
      </c>
      <c r="W59" s="328">
        <f t="shared" si="10"/>
        <v>13101810</v>
      </c>
      <c r="X59" s="328">
        <f t="shared" si="10"/>
        <v>8026567</v>
      </c>
      <c r="Y59" s="66">
        <f t="shared" si="10"/>
        <v>6286849.598262703</v>
      </c>
      <c r="Z59" s="66">
        <f t="shared" si="10"/>
        <v>4946684.6710597388</v>
      </c>
      <c r="AA59" s="66">
        <f t="shared" si="10"/>
        <v>6049789.8008714113</v>
      </c>
      <c r="AB59" s="66">
        <f t="shared" si="10"/>
        <v>8383754.009227383</v>
      </c>
      <c r="AC59" s="66">
        <f t="shared" si="10"/>
        <v>7424376.0644219993</v>
      </c>
      <c r="AD59" s="66">
        <v>3546767.4443608206</v>
      </c>
      <c r="AE59" s="66">
        <v>4389872.2137501119</v>
      </c>
      <c r="AF59" s="66">
        <v>1075418.9944134078</v>
      </c>
      <c r="AG59" s="66">
        <f>+AG60</f>
        <v>629062.39820000005</v>
      </c>
      <c r="AH59" s="67">
        <f>+AH60</f>
        <v>555230.80949600006</v>
      </c>
      <c r="AI59" s="67">
        <v>779952.85160141101</v>
      </c>
      <c r="AJ59" s="67"/>
      <c r="AK59" s="67"/>
      <c r="AL59" s="67"/>
      <c r="AM59" s="67"/>
      <c r="AN59" s="67"/>
      <c r="AO59" s="67"/>
      <c r="AP59" s="67"/>
      <c r="AQ59" s="67"/>
      <c r="AR59" s="68"/>
      <c r="AS59" s="361">
        <f t="shared" si="9"/>
        <v>298306783.52017832</v>
      </c>
    </row>
    <row r="60" spans="1:46" x14ac:dyDescent="0.2">
      <c r="A60" s="344" t="s">
        <v>61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>
        <v>0</v>
      </c>
      <c r="M60" s="50">
        <v>2413740.9527924815</v>
      </c>
      <c r="N60" s="50">
        <v>15918591.336286055</v>
      </c>
      <c r="O60" s="50">
        <v>24842173.490331642</v>
      </c>
      <c r="P60" s="50">
        <v>24013660</v>
      </c>
      <c r="Q60" s="50">
        <v>27827749</v>
      </c>
      <c r="R60" s="50">
        <v>33732294</v>
      </c>
      <c r="S60" s="50">
        <v>16819275</v>
      </c>
      <c r="T60" s="50">
        <v>10497541</v>
      </c>
      <c r="U60" s="49">
        <v>6482862</v>
      </c>
      <c r="V60" s="49">
        <v>9439735</v>
      </c>
      <c r="W60" s="49">
        <v>13101810</v>
      </c>
      <c r="X60" s="49">
        <v>8026567</v>
      </c>
      <c r="Y60" s="50">
        <v>6286849.598262703</v>
      </c>
      <c r="Z60" s="50">
        <v>4946684.6710597388</v>
      </c>
      <c r="AA60" s="50">
        <v>6049789.8008714113</v>
      </c>
      <c r="AB60" s="50">
        <v>8383754.009227383</v>
      </c>
      <c r="AC60" s="51">
        <v>7424376.0644219993</v>
      </c>
      <c r="AD60" s="51">
        <v>3546767.4443608206</v>
      </c>
      <c r="AE60" s="51">
        <v>4389872.2137501119</v>
      </c>
      <c r="AF60" s="51">
        <v>1075418.9944134078</v>
      </c>
      <c r="AG60" s="51">
        <v>629062.39820000005</v>
      </c>
      <c r="AH60" s="52">
        <v>555230.80949600006</v>
      </c>
      <c r="AI60" s="52">
        <v>779952.85160141101</v>
      </c>
      <c r="AJ60" s="52">
        <f>0.59*1000000</f>
        <v>590000</v>
      </c>
      <c r="AK60" s="52"/>
      <c r="AL60" s="52"/>
      <c r="AM60" s="52"/>
      <c r="AN60" s="52"/>
      <c r="AO60" s="52"/>
      <c r="AP60" s="52"/>
      <c r="AQ60" s="52"/>
      <c r="AR60" s="53"/>
      <c r="AS60" s="362">
        <f t="shared" si="9"/>
        <v>237773757.63507518</v>
      </c>
      <c r="AT60" s="332"/>
    </row>
    <row r="61" spans="1:46" ht="12" thickBot="1" x14ac:dyDescent="0.25">
      <c r="A61" s="347" t="s">
        <v>62</v>
      </c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394">
        <v>45253313.168413095</v>
      </c>
      <c r="M61" s="55">
        <v>13637290.698930539</v>
      </c>
      <c r="N61" s="55">
        <v>1381667.9269741818</v>
      </c>
      <c r="O61" s="55">
        <v>571783.51517770335</v>
      </c>
      <c r="P61" s="55">
        <v>222894</v>
      </c>
      <c r="Q61" s="55">
        <v>56076.575607657564</v>
      </c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5"/>
      <c r="AD61" s="55"/>
      <c r="AE61" s="55"/>
      <c r="AF61" s="55"/>
      <c r="AG61" s="55"/>
      <c r="AH61" s="56"/>
      <c r="AI61" s="56"/>
      <c r="AJ61" s="56"/>
      <c r="AK61" s="56"/>
      <c r="AL61" s="56">
        <v>0</v>
      </c>
      <c r="AM61" s="56">
        <v>0</v>
      </c>
      <c r="AN61" s="56"/>
      <c r="AO61" s="56"/>
      <c r="AP61" s="56"/>
      <c r="AQ61" s="56"/>
      <c r="AR61" s="373"/>
      <c r="AS61" s="374">
        <f t="shared" si="9"/>
        <v>61123025.885103181</v>
      </c>
    </row>
    <row r="62" spans="1:46" x14ac:dyDescent="0.2">
      <c r="A62" s="375" t="s">
        <v>17</v>
      </c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267">
        <v>81709.371048800065</v>
      </c>
      <c r="AA62" s="267">
        <v>174047.78841509024</v>
      </c>
      <c r="AB62" s="65">
        <v>235742.60115736388</v>
      </c>
      <c r="AC62" s="66">
        <v>419794.03903585667</v>
      </c>
      <c r="AD62" s="66">
        <v>272895.69839845441</v>
      </c>
      <c r="AE62" s="66">
        <v>500907.23587611038</v>
      </c>
      <c r="AF62" s="66">
        <v>998740.86807047704</v>
      </c>
      <c r="AG62" s="66">
        <v>1427006.84</v>
      </c>
      <c r="AH62" s="67">
        <v>491291.25672000006</v>
      </c>
      <c r="AI62" s="67">
        <v>479835.17908874806</v>
      </c>
      <c r="AJ62" s="67">
        <f>0.124*1000000</f>
        <v>124000</v>
      </c>
      <c r="AK62" s="67">
        <v>699043</v>
      </c>
      <c r="AL62" s="67">
        <v>1606976.9260499997</v>
      </c>
      <c r="AM62" s="67">
        <v>1567576.4532999999</v>
      </c>
      <c r="AN62" s="67">
        <v>1893838.3447999998</v>
      </c>
      <c r="AO62" s="67">
        <v>2505435.4020000077</v>
      </c>
      <c r="AP62" s="67">
        <v>4682966.6035000039</v>
      </c>
      <c r="AQ62" s="67">
        <v>11277979.211470131</v>
      </c>
      <c r="AR62" s="68">
        <v>15860118.744224049</v>
      </c>
      <c r="AS62" s="361">
        <f t="shared" si="9"/>
        <v>45299905.563155092</v>
      </c>
      <c r="AT62" s="332"/>
    </row>
    <row r="63" spans="1:46" x14ac:dyDescent="0.2">
      <c r="A63" s="378" t="s">
        <v>91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267">
        <v>1198071.7295019985</v>
      </c>
      <c r="M63" s="51">
        <v>1797542.4003456845</v>
      </c>
      <c r="N63" s="51">
        <v>5674695.9058010159</v>
      </c>
      <c r="O63" s="267">
        <v>3886233.1208814951</v>
      </c>
      <c r="P63" s="267">
        <f>410625+2101592</f>
        <v>2512217</v>
      </c>
      <c r="Q63" s="267">
        <v>1166112</v>
      </c>
      <c r="R63" s="267">
        <v>716278</v>
      </c>
      <c r="S63" s="49"/>
      <c r="T63" s="49"/>
      <c r="U63" s="49"/>
      <c r="V63" s="49"/>
      <c r="W63" s="49"/>
      <c r="X63" s="49"/>
      <c r="Y63" s="50">
        <v>0</v>
      </c>
      <c r="Z63" s="50"/>
      <c r="AA63" s="50"/>
      <c r="AB63" s="50"/>
      <c r="AC63" s="51"/>
      <c r="AD63" s="51"/>
      <c r="AE63" s="51"/>
      <c r="AF63" s="51"/>
      <c r="AG63" s="51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3"/>
      <c r="AS63" s="362">
        <f t="shared" si="9"/>
        <v>16951150.156530194</v>
      </c>
    </row>
    <row r="64" spans="1:46" x14ac:dyDescent="0.2">
      <c r="A64" s="378" t="s">
        <v>64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50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0"/>
      <c r="AA64" s="50"/>
      <c r="AB64" s="50"/>
      <c r="AC64" s="51"/>
      <c r="AD64" s="51"/>
      <c r="AE64" s="51"/>
      <c r="AF64" s="51"/>
      <c r="AG64" s="51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3"/>
      <c r="AS64" s="362">
        <f t="shared" si="9"/>
        <v>0</v>
      </c>
    </row>
    <row r="65" spans="1:46" x14ac:dyDescent="0.2">
      <c r="A65" s="378" t="s">
        <v>112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395"/>
      <c r="M65" s="49"/>
      <c r="N65" s="49"/>
      <c r="O65" s="49"/>
      <c r="P65" s="49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51"/>
      <c r="AE65" s="51"/>
      <c r="AF65" s="51"/>
      <c r="AG65" s="51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3"/>
      <c r="AS65" s="362">
        <f t="shared" si="9"/>
        <v>0</v>
      </c>
    </row>
    <row r="66" spans="1:46" x14ac:dyDescent="0.2">
      <c r="A66" s="378" t="s">
        <v>66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395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0"/>
      <c r="AA66" s="50"/>
      <c r="AB66" s="50"/>
      <c r="AC66" s="51"/>
      <c r="AD66" s="51"/>
      <c r="AE66" s="51"/>
      <c r="AF66" s="51"/>
      <c r="AG66" s="51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3"/>
      <c r="AS66" s="362">
        <f t="shared" si="9"/>
        <v>0</v>
      </c>
    </row>
    <row r="67" spans="1:46" x14ac:dyDescent="0.2">
      <c r="A67" s="378" t="s">
        <v>67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395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0"/>
      <c r="AA67" s="50"/>
      <c r="AB67" s="50"/>
      <c r="AC67" s="51"/>
      <c r="AD67" s="51"/>
      <c r="AE67" s="51"/>
      <c r="AF67" s="51"/>
      <c r="AG67" s="51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3"/>
      <c r="AS67" s="362">
        <f t="shared" si="9"/>
        <v>0</v>
      </c>
    </row>
    <row r="68" spans="1:46" x14ac:dyDescent="0.2">
      <c r="A68" s="378" t="s">
        <v>68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395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0"/>
      <c r="AA68" s="50"/>
      <c r="AB68" s="50"/>
      <c r="AC68" s="51"/>
      <c r="AD68" s="51"/>
      <c r="AE68" s="51"/>
      <c r="AF68" s="51"/>
      <c r="AG68" s="51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3"/>
      <c r="AS68" s="362">
        <f t="shared" si="9"/>
        <v>0</v>
      </c>
    </row>
    <row r="69" spans="1:46" x14ac:dyDescent="0.2">
      <c r="A69" s="378" t="s">
        <v>69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395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0"/>
      <c r="AA69" s="50"/>
      <c r="AB69" s="50"/>
      <c r="AC69" s="51"/>
      <c r="AD69" s="51"/>
      <c r="AE69" s="51"/>
      <c r="AF69" s="51"/>
      <c r="AG69" s="51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3"/>
      <c r="AS69" s="362">
        <f t="shared" si="9"/>
        <v>0</v>
      </c>
    </row>
    <row r="70" spans="1:46" ht="12" thickBot="1" x14ac:dyDescent="0.25">
      <c r="A70" s="379" t="s">
        <v>70</v>
      </c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69"/>
      <c r="X70" s="69"/>
      <c r="Y70" s="69"/>
      <c r="Z70" s="69"/>
      <c r="AA70" s="69"/>
      <c r="AB70" s="380"/>
      <c r="AC70" s="69"/>
      <c r="AD70" s="69"/>
      <c r="AE70" s="69"/>
      <c r="AF70" s="69">
        <v>3346922.0025784271</v>
      </c>
      <c r="AG70" s="69">
        <v>4321555.1882867999</v>
      </c>
      <c r="AH70" s="70">
        <v>5053826.2042004</v>
      </c>
      <c r="AI70" s="70">
        <v>4856328.4624177348</v>
      </c>
      <c r="AJ70" s="70">
        <f>5.8*1000000</f>
        <v>5800000</v>
      </c>
      <c r="AK70" s="70">
        <v>17832.72582</v>
      </c>
      <c r="AL70" s="52"/>
      <c r="AM70" s="52"/>
      <c r="AN70" s="52"/>
      <c r="AO70" s="52"/>
      <c r="AP70" s="52"/>
      <c r="AQ70" s="52"/>
      <c r="AR70" s="254"/>
      <c r="AS70" s="383">
        <f t="shared" si="9"/>
        <v>23396464.583303366</v>
      </c>
      <c r="AT70" s="332"/>
    </row>
    <row r="71" spans="1:46" s="396" customFormat="1" ht="12.75" thickTop="1" thickBot="1" x14ac:dyDescent="0.25">
      <c r="A71" s="131" t="s">
        <v>113</v>
      </c>
      <c r="B71" s="71">
        <f>+B52+B53+B58+B59+B62+B63+B64+B65+B66+B67+B68+B69+B57</f>
        <v>267095.17122177815</v>
      </c>
      <c r="C71" s="71">
        <f t="shared" ref="C71:AE71" si="11">+C52+C53+C58+C59+C62+C63+C64+C65+C66+C67+C68+C69+C57</f>
        <v>10826671.707896728</v>
      </c>
      <c r="D71" s="71">
        <f t="shared" si="11"/>
        <v>14752349.573295884</v>
      </c>
      <c r="E71" s="71">
        <f t="shared" si="11"/>
        <v>34182594.793129526</v>
      </c>
      <c r="F71" s="71">
        <f t="shared" si="11"/>
        <v>45499984.87630982</v>
      </c>
      <c r="G71" s="71">
        <f t="shared" si="11"/>
        <v>43855994.382629365</v>
      </c>
      <c r="H71" s="71">
        <f t="shared" si="11"/>
        <v>41188387.16646862</v>
      </c>
      <c r="I71" s="71">
        <f t="shared" si="11"/>
        <v>31771999.567894567</v>
      </c>
      <c r="J71" s="71">
        <f t="shared" si="11"/>
        <v>24684229.231932592</v>
      </c>
      <c r="K71" s="71">
        <f t="shared" si="11"/>
        <v>27500283.02905909</v>
      </c>
      <c r="L71" s="71">
        <f t="shared" si="11"/>
        <v>78015810.737820029</v>
      </c>
      <c r="M71" s="71">
        <f t="shared" si="11"/>
        <v>63428481.14940045</v>
      </c>
      <c r="N71" s="71">
        <f t="shared" si="11"/>
        <v>93347050.880414814</v>
      </c>
      <c r="O71" s="71">
        <f t="shared" si="11"/>
        <v>107192106.51398942</v>
      </c>
      <c r="P71" s="71">
        <f t="shared" si="11"/>
        <v>116090321</v>
      </c>
      <c r="Q71" s="71">
        <f t="shared" si="11"/>
        <v>194584284.57560766</v>
      </c>
      <c r="R71" s="71">
        <f t="shared" si="11"/>
        <v>241785854</v>
      </c>
      <c r="S71" s="71">
        <f t="shared" si="11"/>
        <v>161097489</v>
      </c>
      <c r="T71" s="71">
        <f t="shared" si="11"/>
        <v>167497190</v>
      </c>
      <c r="U71" s="71">
        <f t="shared" si="11"/>
        <v>131895412</v>
      </c>
      <c r="V71" s="71">
        <f t="shared" si="11"/>
        <v>115592304</v>
      </c>
      <c r="W71" s="71">
        <f t="shared" si="11"/>
        <v>127380740</v>
      </c>
      <c r="X71" s="71">
        <f t="shared" si="11"/>
        <v>91215457</v>
      </c>
      <c r="Y71" s="71">
        <f t="shared" si="11"/>
        <v>98566803.199811399</v>
      </c>
      <c r="Z71" s="71">
        <f t="shared" si="11"/>
        <v>98830239.954579592</v>
      </c>
      <c r="AA71" s="71">
        <f t="shared" si="11"/>
        <v>107131935.8061257</v>
      </c>
      <c r="AB71" s="71">
        <f t="shared" si="11"/>
        <v>60303614.932535067</v>
      </c>
      <c r="AC71" s="71">
        <f t="shared" si="11"/>
        <v>111506716.38439439</v>
      </c>
      <c r="AD71" s="71">
        <f t="shared" si="11"/>
        <v>96038741.300104454</v>
      </c>
      <c r="AE71" s="71">
        <f t="shared" si="11"/>
        <v>141149526.63861492</v>
      </c>
      <c r="AF71" s="71">
        <f t="shared" ref="AF71:AR71" si="12">+AF52+AF53+AF58+AF59+AF62+AF63+AF64+AF65+AF66+AF67+AF68+AF69+AF57+AF70</f>
        <v>195958769.8580066</v>
      </c>
      <c r="AG71" s="71">
        <f t="shared" si="12"/>
        <v>140850442.12839958</v>
      </c>
      <c r="AH71" s="72">
        <f t="shared" si="12"/>
        <v>138631884.23944697</v>
      </c>
      <c r="AI71" s="72">
        <f t="shared" si="12"/>
        <v>153593256.9629004</v>
      </c>
      <c r="AJ71" s="72">
        <f t="shared" si="12"/>
        <v>107044000</v>
      </c>
      <c r="AK71" s="72">
        <f t="shared" si="12"/>
        <v>22450741.322000001</v>
      </c>
      <c r="AL71" s="72">
        <f t="shared" si="12"/>
        <v>23610548.713799998</v>
      </c>
      <c r="AM71" s="72">
        <f t="shared" si="12"/>
        <v>22403763.053209994</v>
      </c>
      <c r="AN71" s="72">
        <f t="shared" si="12"/>
        <v>21678745.884470113</v>
      </c>
      <c r="AO71" s="72">
        <f t="shared" si="12"/>
        <v>20613286.476900127</v>
      </c>
      <c r="AP71" s="72">
        <f t="shared" si="12"/>
        <v>21870801.900700107</v>
      </c>
      <c r="AQ71" s="72">
        <f t="shared" si="12"/>
        <v>35946609.60871017</v>
      </c>
      <c r="AR71" s="73">
        <f t="shared" si="12"/>
        <v>33964622.945544183</v>
      </c>
      <c r="AS71" s="74">
        <f t="shared" si="9"/>
        <v>3615797141.6673241</v>
      </c>
    </row>
    <row r="72" spans="1:46" ht="12" thickTop="1" x14ac:dyDescent="0.2">
      <c r="A72" s="397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9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9"/>
      <c r="Y72" s="398"/>
      <c r="Z72" s="398"/>
      <c r="AA72" s="398"/>
      <c r="AB72" s="354"/>
      <c r="AC72" s="77"/>
      <c r="AD72" s="77"/>
      <c r="AE72" s="78"/>
      <c r="AF72" s="78"/>
      <c r="AG72" s="78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7">
        <f>+AS52+AS53+AS57+AS58+AS59+AS62+AS63+AS64+AS65+AS66+AS67+AS68+AS69+AS70</f>
        <v>3615797141.6673241</v>
      </c>
      <c r="AT72" s="346"/>
    </row>
  </sheetData>
  <mergeCells count="1">
    <mergeCell ref="A3:C3"/>
  </mergeCells>
  <printOptions horizontalCentered="1"/>
  <pageMargins left="0" right="0" top="1.25" bottom="0" header="0" footer="0"/>
  <pageSetup paperSize="17" scale="3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0A5B-0859-4989-BE26-7EDB37B6BDDE}">
  <sheetPr transitionEvaluation="1">
    <pageSetUpPr fitToPage="1"/>
  </sheetPr>
  <dimension ref="A1:BL62"/>
  <sheetViews>
    <sheetView zoomScale="85" zoomScaleNormal="85" workbookViewId="0">
      <pane xSplit="1" ySplit="5" topLeftCell="B6" activePane="bottomRight" state="frozen"/>
      <selection activeCell="B1" sqref="B1:C2"/>
      <selection pane="topRight" activeCell="B1" sqref="B1:C2"/>
      <selection pane="bottomLeft" activeCell="B1" sqref="B1:C2"/>
      <selection pane="bottomRight" activeCell="B1" sqref="B1:C2"/>
    </sheetView>
  </sheetViews>
  <sheetFormatPr defaultColWidth="11.28515625" defaultRowHeight="11.25" x14ac:dyDescent="0.2"/>
  <cols>
    <col min="1" max="1" width="24.140625" style="402" customWidth="1"/>
    <col min="2" max="2" width="7.140625" style="402" customWidth="1"/>
    <col min="3" max="3" width="6.85546875" style="402" customWidth="1"/>
    <col min="4" max="4" width="6.28515625" style="402" customWidth="1"/>
    <col min="5" max="5" width="13.140625" style="402" bestFit="1" customWidth="1"/>
    <col min="6" max="6" width="14.42578125" style="402" bestFit="1" customWidth="1"/>
    <col min="7" max="7" width="12.85546875" style="402" bestFit="1" customWidth="1"/>
    <col min="8" max="8" width="13.140625" style="402" bestFit="1" customWidth="1"/>
    <col min="9" max="10" width="12.85546875" style="402" bestFit="1" customWidth="1"/>
    <col min="11" max="12" width="14" style="402" bestFit="1" customWidth="1"/>
    <col min="13" max="13" width="13.7109375" style="402" bestFit="1" customWidth="1"/>
    <col min="14" max="14" width="14" style="402" bestFit="1" customWidth="1"/>
    <col min="15" max="15" width="15.140625" style="402" bestFit="1" customWidth="1"/>
    <col min="16" max="16" width="15.5703125" style="402" bestFit="1" customWidth="1"/>
    <col min="17" max="17" width="13.7109375" style="402" bestFit="1" customWidth="1"/>
    <col min="18" max="18" width="15.140625" style="402" bestFit="1" customWidth="1"/>
    <col min="19" max="19" width="14.5703125" style="402" bestFit="1" customWidth="1"/>
    <col min="20" max="20" width="14.85546875" style="402" bestFit="1" customWidth="1"/>
    <col min="21" max="24" width="15.140625" style="402" bestFit="1" customWidth="1"/>
    <col min="25" max="25" width="15.140625" style="402" customWidth="1"/>
    <col min="26" max="28" width="15.140625" style="402" bestFit="1" customWidth="1"/>
    <col min="29" max="29" width="15.5703125" style="402" bestFit="1" customWidth="1"/>
    <col min="30" max="30" width="15.140625" style="402" bestFit="1" customWidth="1"/>
    <col min="31" max="32" width="15.5703125" style="402" bestFit="1" customWidth="1"/>
    <col min="33" max="33" width="15.140625" style="402" bestFit="1" customWidth="1"/>
    <col min="34" max="36" width="15.5703125" style="437" bestFit="1" customWidth="1"/>
    <col min="37" max="38" width="14.85546875" style="437" bestFit="1" customWidth="1"/>
    <col min="39" max="44" width="14.85546875" style="437" customWidth="1"/>
    <col min="45" max="45" width="16.5703125" style="38" bestFit="1" customWidth="1"/>
    <col min="46" max="46" width="12.140625" style="41" customWidth="1"/>
    <col min="47" max="47" width="12.5703125" style="41" customWidth="1"/>
    <col min="48" max="48" width="26.28515625" style="402" customWidth="1"/>
    <col min="49" max="49" width="29.42578125" style="402" customWidth="1"/>
    <col min="50" max="50" width="1.42578125" style="402" customWidth="1"/>
    <col min="51" max="51" width="14.85546875" style="402" customWidth="1"/>
    <col min="52" max="52" width="9.85546875" style="402" bestFit="1" customWidth="1"/>
    <col min="53" max="55" width="9" style="402" bestFit="1" customWidth="1"/>
    <col min="56" max="56" width="11.5703125" style="402" bestFit="1" customWidth="1"/>
    <col min="57" max="60" width="9.85546875" style="402" bestFit="1" customWidth="1"/>
    <col min="61" max="61" width="10.7109375" style="402" bestFit="1" customWidth="1"/>
    <col min="62" max="63" width="10.7109375" style="402" customWidth="1"/>
    <col min="64" max="64" width="12" style="402" bestFit="1" customWidth="1"/>
    <col min="65" max="16384" width="11.28515625" style="402"/>
  </cols>
  <sheetData>
    <row r="1" spans="1:47" x14ac:dyDescent="0.2">
      <c r="B1" s="1088" t="s">
        <v>519</v>
      </c>
      <c r="C1" s="1088"/>
    </row>
    <row r="2" spans="1:47" x14ac:dyDescent="0.2">
      <c r="B2" s="1088" t="s">
        <v>517</v>
      </c>
      <c r="C2" s="1088"/>
    </row>
    <row r="3" spans="1:47" ht="16.5" thickBot="1" x14ac:dyDescent="0.3">
      <c r="A3" s="401" t="s">
        <v>114</v>
      </c>
      <c r="F3" s="307"/>
      <c r="AB3" s="309"/>
      <c r="AC3" s="403"/>
      <c r="AD3" s="403"/>
      <c r="AE3" s="404"/>
      <c r="AG3" s="405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2"/>
      <c r="AT3" s="119"/>
    </row>
    <row r="4" spans="1:47" ht="16.5" thickBot="1" x14ac:dyDescent="0.3">
      <c r="A4" s="407" t="s">
        <v>33</v>
      </c>
      <c r="F4" s="307"/>
      <c r="AB4" s="309"/>
      <c r="AC4" s="403"/>
      <c r="AD4" s="403"/>
      <c r="AE4" s="404"/>
      <c r="AF4" s="408">
        <v>0.90900000000000003</v>
      </c>
      <c r="AG4" s="409">
        <v>1.0881000000000001</v>
      </c>
      <c r="AH4" s="410">
        <v>1.07935</v>
      </c>
      <c r="AI4" s="410">
        <v>1.07782</v>
      </c>
      <c r="AJ4" s="410">
        <v>1.07613</v>
      </c>
      <c r="AK4" s="410">
        <v>1.0699700000000001</v>
      </c>
      <c r="AL4" s="410">
        <v>1.06063</v>
      </c>
      <c r="AM4" s="410">
        <v>1.0613999999999999</v>
      </c>
      <c r="AN4" s="410">
        <v>1.0653999999999999</v>
      </c>
      <c r="AO4" s="410">
        <v>1.0603</v>
      </c>
      <c r="AP4" s="410">
        <v>1.0642</v>
      </c>
      <c r="AQ4" s="410">
        <v>1.0687</v>
      </c>
      <c r="AR4" s="410">
        <v>1.0649999999999999</v>
      </c>
      <c r="AS4" s="42"/>
      <c r="AT4" s="411"/>
    </row>
    <row r="5" spans="1:47" s="418" customFormat="1" ht="39.75" thickTop="1" thickBot="1" x14ac:dyDescent="0.25">
      <c r="A5" s="314" t="s">
        <v>115</v>
      </c>
      <c r="B5" s="412">
        <v>1981</v>
      </c>
      <c r="C5" s="412">
        <v>1982</v>
      </c>
      <c r="D5" s="412">
        <v>1983</v>
      </c>
      <c r="E5" s="412">
        <v>1984</v>
      </c>
      <c r="F5" s="412">
        <v>1985</v>
      </c>
      <c r="G5" s="412">
        <v>1986</v>
      </c>
      <c r="H5" s="412">
        <v>1987</v>
      </c>
      <c r="I5" s="412">
        <v>1988</v>
      </c>
      <c r="J5" s="412">
        <v>1989</v>
      </c>
      <c r="K5" s="413" t="s">
        <v>35</v>
      </c>
      <c r="L5" s="412" t="s">
        <v>36</v>
      </c>
      <c r="M5" s="412">
        <v>1992</v>
      </c>
      <c r="N5" s="414">
        <v>1993</v>
      </c>
      <c r="O5" s="414">
        <v>1994</v>
      </c>
      <c r="P5" s="414">
        <v>1995</v>
      </c>
      <c r="Q5" s="414">
        <v>1996</v>
      </c>
      <c r="R5" s="412">
        <v>1997</v>
      </c>
      <c r="S5" s="414">
        <v>1998</v>
      </c>
      <c r="T5" s="412">
        <v>1999</v>
      </c>
      <c r="U5" s="415">
        <v>2000</v>
      </c>
      <c r="V5" s="415">
        <v>2001</v>
      </c>
      <c r="W5" s="415">
        <v>2002</v>
      </c>
      <c r="X5" s="415">
        <v>2003</v>
      </c>
      <c r="Y5" s="415">
        <v>2004</v>
      </c>
      <c r="Z5" s="415">
        <v>2005</v>
      </c>
      <c r="AA5" s="416" t="s">
        <v>116</v>
      </c>
      <c r="AB5" s="357">
        <v>2007</v>
      </c>
      <c r="AC5" s="311" t="s">
        <v>117</v>
      </c>
      <c r="AD5" s="311" t="s">
        <v>118</v>
      </c>
      <c r="AE5" s="311" t="s">
        <v>119</v>
      </c>
      <c r="AF5" s="311" t="s">
        <v>40</v>
      </c>
      <c r="AG5" s="311" t="s">
        <v>120</v>
      </c>
      <c r="AH5" s="311" t="s">
        <v>121</v>
      </c>
      <c r="AI5" s="311" t="s">
        <v>122</v>
      </c>
      <c r="AJ5" s="311" t="s">
        <v>123</v>
      </c>
      <c r="AK5" s="311" t="s">
        <v>124</v>
      </c>
      <c r="AL5" s="311" t="s">
        <v>125</v>
      </c>
      <c r="AM5" s="311" t="s">
        <v>126</v>
      </c>
      <c r="AN5" s="311" t="s">
        <v>127</v>
      </c>
      <c r="AO5" s="311" t="s">
        <v>128</v>
      </c>
      <c r="AP5" s="311" t="s">
        <v>129</v>
      </c>
      <c r="AQ5" s="311" t="s">
        <v>130</v>
      </c>
      <c r="AR5" s="311" t="s">
        <v>131</v>
      </c>
      <c r="AS5" s="417" t="s">
        <v>132</v>
      </c>
      <c r="AT5" s="411"/>
      <c r="AU5" s="141"/>
    </row>
    <row r="6" spans="1:47" ht="12.75" x14ac:dyDescent="0.2">
      <c r="A6" s="419" t="s">
        <v>133</v>
      </c>
      <c r="B6" s="122">
        <v>2208.480565371025</v>
      </c>
      <c r="C6" s="122">
        <v>5079.5053003533567</v>
      </c>
      <c r="D6" s="122">
        <v>4306.5371024734986</v>
      </c>
      <c r="E6" s="123">
        <v>23631.846289752652</v>
      </c>
      <c r="F6" s="65">
        <v>19599.160777385161</v>
      </c>
      <c r="G6" s="65">
        <v>15542.181978798588</v>
      </c>
      <c r="H6" s="65">
        <v>14222.614840989399</v>
      </c>
      <c r="I6" s="65">
        <v>9186.1749116607771</v>
      </c>
      <c r="J6" s="65">
        <v>6279.8144876325096</v>
      </c>
      <c r="K6" s="65">
        <v>10417.402826855125</v>
      </c>
      <c r="L6" s="65"/>
      <c r="M6" s="65"/>
      <c r="N6" s="65"/>
      <c r="O6" s="65"/>
      <c r="P6" s="65"/>
      <c r="Q6" s="121"/>
      <c r="R6" s="121"/>
      <c r="S6" s="121"/>
      <c r="T6" s="122"/>
      <c r="U6" s="123"/>
      <c r="V6" s="121"/>
      <c r="W6" s="205"/>
      <c r="X6" s="420"/>
      <c r="Y6" s="205"/>
      <c r="Z6" s="421"/>
      <c r="AA6" s="377"/>
      <c r="AB6" s="377"/>
      <c r="AC6" s="377"/>
      <c r="AD6" s="377"/>
      <c r="AE6" s="421"/>
      <c r="AF6" s="420"/>
      <c r="AG6" s="420"/>
      <c r="AH6" s="422"/>
      <c r="AI6" s="422"/>
      <c r="AJ6" s="422"/>
      <c r="AK6" s="422"/>
      <c r="AL6" s="423"/>
      <c r="AM6" s="423"/>
      <c r="AN6" s="423"/>
      <c r="AO6" s="423"/>
      <c r="AP6" s="423"/>
      <c r="AQ6" s="423"/>
      <c r="AR6" s="423"/>
      <c r="AS6" s="424">
        <f>SUM(B6:AR6)</f>
        <v>110473.71908127208</v>
      </c>
      <c r="AT6" s="411"/>
      <c r="AU6" s="411"/>
    </row>
    <row r="7" spans="1:47" ht="12.75" x14ac:dyDescent="0.2">
      <c r="A7" s="425" t="s">
        <v>134</v>
      </c>
      <c r="B7" s="50"/>
      <c r="C7" s="50"/>
      <c r="D7" s="50"/>
      <c r="E7" s="182">
        <v>607.33215547703185</v>
      </c>
      <c r="F7" s="180">
        <v>3423.1448763250883</v>
      </c>
      <c r="G7" s="180">
        <v>3423.1448763250883</v>
      </c>
      <c r="H7" s="180">
        <v>883.39222614840992</v>
      </c>
      <c r="I7" s="180">
        <v>1214.6643109540637</v>
      </c>
      <c r="J7" s="180">
        <v>1104.2402826855125</v>
      </c>
      <c r="K7" s="180">
        <v>1987.6325088339224</v>
      </c>
      <c r="L7" s="180">
        <v>1099.8233215547705</v>
      </c>
      <c r="M7" s="180">
        <v>2488.9575971731451</v>
      </c>
      <c r="N7" s="180">
        <v>12093.639575971732</v>
      </c>
      <c r="O7" s="180">
        <v>28460.689045936397</v>
      </c>
      <c r="P7" s="121">
        <v>48262</v>
      </c>
      <c r="Q7" s="121">
        <v>74676</v>
      </c>
      <c r="R7" s="121">
        <v>16578</v>
      </c>
      <c r="S7" s="121">
        <v>17308</v>
      </c>
      <c r="T7" s="122">
        <v>6999</v>
      </c>
      <c r="U7" s="123">
        <v>3613</v>
      </c>
      <c r="V7" s="121">
        <v>4481</v>
      </c>
      <c r="W7" s="122">
        <v>5891</v>
      </c>
      <c r="X7" s="121">
        <v>6016</v>
      </c>
      <c r="Y7" s="122">
        <v>6240.3006521498846</v>
      </c>
      <c r="Z7" s="123">
        <v>5481.9277108433735</v>
      </c>
      <c r="AA7" s="122">
        <v>6217.314026749199</v>
      </c>
      <c r="AB7" s="122">
        <v>5444.1024513575903</v>
      </c>
      <c r="AC7" s="122">
        <v>3602.7</v>
      </c>
      <c r="AD7" s="122">
        <v>3116.4</v>
      </c>
      <c r="AE7" s="123">
        <v>4168.1032596805953</v>
      </c>
      <c r="AF7" s="121">
        <v>3860.7689768976898</v>
      </c>
      <c r="AG7" s="121">
        <v>4783.8958479000003</v>
      </c>
      <c r="AH7" s="122">
        <v>2959.3521158500002</v>
      </c>
      <c r="AI7" s="122">
        <v>1520.9656930000001</v>
      </c>
      <c r="AJ7" s="122">
        <v>1830</v>
      </c>
      <c r="AK7" s="122">
        <v>1724.4128706200004</v>
      </c>
      <c r="AL7" s="122">
        <v>4645.50424724</v>
      </c>
      <c r="AM7" s="122">
        <v>9657.1818647999989</v>
      </c>
      <c r="AN7" s="122">
        <v>4766.7508867999986</v>
      </c>
      <c r="AO7" s="122">
        <v>3954.0686394000004</v>
      </c>
      <c r="AP7" s="122">
        <v>2237.3900429999999</v>
      </c>
      <c r="AQ7" s="122">
        <v>2149.8952403999997</v>
      </c>
      <c r="AR7" s="123">
        <v>6379.5267899999999</v>
      </c>
      <c r="AS7" s="83">
        <f t="shared" ref="AS7:AS16" si="0">SUM(B7:AR7)</f>
        <v>325351.2220940736</v>
      </c>
      <c r="AT7" s="307"/>
      <c r="AU7" s="426"/>
    </row>
    <row r="8" spans="1:47" ht="12.75" x14ac:dyDescent="0.2">
      <c r="A8" s="425" t="s">
        <v>135</v>
      </c>
      <c r="B8" s="50"/>
      <c r="C8" s="50"/>
      <c r="D8" s="50"/>
      <c r="E8" s="121"/>
      <c r="F8" s="121"/>
      <c r="G8" s="121"/>
      <c r="H8" s="121"/>
      <c r="I8" s="121"/>
      <c r="J8" s="122"/>
      <c r="K8" s="123"/>
      <c r="L8" s="121"/>
      <c r="M8" s="121"/>
      <c r="N8" s="121">
        <v>30.918727915194349</v>
      </c>
      <c r="O8" s="121">
        <v>199.86749116607774</v>
      </c>
      <c r="P8" s="121">
        <v>155</v>
      </c>
      <c r="Q8" s="121">
        <v>30</v>
      </c>
      <c r="R8" s="121">
        <v>0.3</v>
      </c>
      <c r="S8" s="121">
        <v>0</v>
      </c>
      <c r="T8" s="122"/>
      <c r="U8" s="123"/>
      <c r="V8" s="121"/>
      <c r="W8" s="205"/>
      <c r="X8" s="420"/>
      <c r="Y8" s="205"/>
      <c r="Z8" s="421"/>
      <c r="AA8" s="205"/>
      <c r="AB8" s="205"/>
      <c r="AC8" s="205"/>
      <c r="AD8" s="205"/>
      <c r="AE8" s="123"/>
      <c r="AF8" s="121"/>
      <c r="AG8" s="121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427"/>
      <c r="AS8" s="83">
        <f t="shared" si="0"/>
        <v>416.08621908127208</v>
      </c>
      <c r="AT8" s="411"/>
      <c r="AU8" s="411"/>
    </row>
    <row r="9" spans="1:47" ht="12.75" x14ac:dyDescent="0.2">
      <c r="A9" s="425" t="s">
        <v>136</v>
      </c>
      <c r="B9" s="50"/>
      <c r="C9" s="50"/>
      <c r="D9" s="50"/>
      <c r="E9" s="121"/>
      <c r="F9" s="121"/>
      <c r="G9" s="121"/>
      <c r="H9" s="121"/>
      <c r="I9" s="121"/>
      <c r="J9" s="122"/>
      <c r="K9" s="123"/>
      <c r="L9" s="121"/>
      <c r="M9" s="121"/>
      <c r="N9" s="121"/>
      <c r="O9" s="121">
        <v>1415.6360424028269</v>
      </c>
      <c r="P9" s="121">
        <v>986</v>
      </c>
      <c r="Q9" s="121">
        <v>365</v>
      </c>
      <c r="R9" s="121">
        <v>220</v>
      </c>
      <c r="S9" s="121">
        <v>175</v>
      </c>
      <c r="T9" s="122">
        <v>225</v>
      </c>
      <c r="U9" s="123"/>
      <c r="V9" s="121"/>
      <c r="W9" s="205"/>
      <c r="X9" s="420"/>
      <c r="Y9" s="205"/>
      <c r="Z9" s="421"/>
      <c r="AA9" s="205"/>
      <c r="AB9" s="205"/>
      <c r="AC9" s="205"/>
      <c r="AD9" s="205"/>
      <c r="AE9" s="123"/>
      <c r="AF9" s="121"/>
      <c r="AG9" s="121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427"/>
      <c r="AS9" s="83">
        <f t="shared" si="0"/>
        <v>3386.6360424028271</v>
      </c>
      <c r="AT9" s="411"/>
      <c r="AU9" s="411"/>
    </row>
    <row r="10" spans="1:47" ht="12.75" x14ac:dyDescent="0.2">
      <c r="A10" s="425" t="s">
        <v>137</v>
      </c>
      <c r="B10" s="50"/>
      <c r="C10" s="50"/>
      <c r="D10" s="50"/>
      <c r="E10" s="121"/>
      <c r="F10" s="121"/>
      <c r="G10" s="121"/>
      <c r="H10" s="121"/>
      <c r="I10" s="121"/>
      <c r="J10" s="122"/>
      <c r="K10" s="123"/>
      <c r="L10" s="121"/>
      <c r="M10" s="121"/>
      <c r="N10" s="121"/>
      <c r="O10" s="121"/>
      <c r="P10" s="121">
        <v>605</v>
      </c>
      <c r="Q10" s="121">
        <v>220</v>
      </c>
      <c r="R10" s="121">
        <v>99</v>
      </c>
      <c r="S10" s="121"/>
      <c r="T10" s="122"/>
      <c r="U10" s="123">
        <v>52</v>
      </c>
      <c r="V10" s="121">
        <v>5373</v>
      </c>
      <c r="W10" s="122">
        <v>333</v>
      </c>
      <c r="X10" s="121">
        <v>8818</v>
      </c>
      <c r="Y10" s="122">
        <v>174.7540621200398</v>
      </c>
      <c r="Z10" s="123">
        <v>878.93705480999279</v>
      </c>
      <c r="AA10" s="122">
        <v>1732.8396153421024</v>
      </c>
      <c r="AB10" s="122">
        <v>13799.934044190393</v>
      </c>
      <c r="AC10" s="122">
        <v>179.1</v>
      </c>
      <c r="AD10" s="122">
        <v>1896.7</v>
      </c>
      <c r="AE10" s="123">
        <v>2829.1402318967403</v>
      </c>
      <c r="AF10" s="121">
        <v>2307.810781078108</v>
      </c>
      <c r="AG10" s="121">
        <v>2540.1966525000003</v>
      </c>
      <c r="AH10" s="122">
        <v>4096.1235358499998</v>
      </c>
      <c r="AI10" s="122">
        <v>1315.2540456199999</v>
      </c>
      <c r="AJ10" s="122">
        <v>2377.8000000000002</v>
      </c>
      <c r="AK10" s="122">
        <v>2952.7352207100002</v>
      </c>
      <c r="AL10" s="122">
        <v>1600.0059620899999</v>
      </c>
      <c r="AM10" s="122">
        <v>619.03501499999993</v>
      </c>
      <c r="AN10" s="122">
        <v>0</v>
      </c>
      <c r="AO10" s="122">
        <v>0</v>
      </c>
      <c r="AP10" s="122">
        <v>0</v>
      </c>
      <c r="AQ10" s="122">
        <v>0</v>
      </c>
      <c r="AR10" s="123">
        <v>0</v>
      </c>
      <c r="AS10" s="83">
        <f t="shared" si="0"/>
        <v>54800.366221207369</v>
      </c>
      <c r="AT10" s="307"/>
      <c r="AU10" s="428"/>
    </row>
    <row r="11" spans="1:47" ht="12.75" x14ac:dyDescent="0.2">
      <c r="A11" s="425" t="s">
        <v>138</v>
      </c>
      <c r="B11" s="50"/>
      <c r="C11" s="50"/>
      <c r="D11" s="50"/>
      <c r="E11" s="121"/>
      <c r="F11" s="121"/>
      <c r="G11" s="121"/>
      <c r="H11" s="121"/>
      <c r="I11" s="121"/>
      <c r="J11" s="122"/>
      <c r="K11" s="123"/>
      <c r="L11" s="121"/>
      <c r="M11" s="121"/>
      <c r="N11" s="121"/>
      <c r="O11" s="121"/>
      <c r="P11" s="121"/>
      <c r="Q11" s="121">
        <v>1328</v>
      </c>
      <c r="R11" s="121">
        <v>7896</v>
      </c>
      <c r="S11" s="121">
        <v>5707</v>
      </c>
      <c r="T11" s="122">
        <v>7036</v>
      </c>
      <c r="U11" s="123">
        <v>4511</v>
      </c>
      <c r="V11" s="121">
        <v>1509</v>
      </c>
      <c r="W11" s="122">
        <v>3121</v>
      </c>
      <c r="X11" s="121">
        <v>2695</v>
      </c>
      <c r="Y11" s="122">
        <v>4453.8521056703885</v>
      </c>
      <c r="Z11" s="123">
        <v>5270.2553332596444</v>
      </c>
      <c r="AA11" s="122">
        <v>5542.0581408201615</v>
      </c>
      <c r="AB11" s="122">
        <v>8214.3563812245811</v>
      </c>
      <c r="AC11" s="122">
        <v>10566.2</v>
      </c>
      <c r="AD11" s="122">
        <v>12342</v>
      </c>
      <c r="AE11" s="123">
        <v>6954.9453073725672</v>
      </c>
      <c r="AF11" s="121">
        <v>6450.9493949394946</v>
      </c>
      <c r="AG11" s="121">
        <v>7361.1902917970165</v>
      </c>
      <c r="AH11" s="122">
        <v>7296.240362949</v>
      </c>
      <c r="AI11" s="122">
        <v>8046.9229278193998</v>
      </c>
      <c r="AJ11" s="122">
        <v>4728.7</v>
      </c>
      <c r="AK11" s="122">
        <v>275.57933326</v>
      </c>
      <c r="AL11" s="122"/>
      <c r="AM11" s="122"/>
      <c r="AN11" s="122"/>
      <c r="AO11" s="122"/>
      <c r="AP11" s="122"/>
      <c r="AQ11" s="122"/>
      <c r="AR11" s="123"/>
      <c r="AS11" s="83">
        <f t="shared" si="0"/>
        <v>121306.24957911225</v>
      </c>
      <c r="AT11" s="307"/>
      <c r="AU11" s="429"/>
    </row>
    <row r="12" spans="1:47" ht="12.75" x14ac:dyDescent="0.2">
      <c r="A12" s="425" t="s">
        <v>139</v>
      </c>
      <c r="B12" s="50"/>
      <c r="C12" s="50"/>
      <c r="D12" s="50"/>
      <c r="E12" s="121"/>
      <c r="F12" s="121"/>
      <c r="G12" s="121"/>
      <c r="H12" s="121"/>
      <c r="I12" s="121"/>
      <c r="J12" s="122"/>
      <c r="K12" s="123"/>
      <c r="L12" s="121">
        <v>7083.8859416445621</v>
      </c>
      <c r="M12" s="121">
        <v>10829.907161803712</v>
      </c>
      <c r="N12" s="121">
        <v>15533.819628647214</v>
      </c>
      <c r="O12" s="121">
        <v>17187.223695844386</v>
      </c>
      <c r="P12" s="121">
        <f>6483+3011+733+7797</f>
        <v>18024</v>
      </c>
      <c r="Q12" s="121">
        <v>25612</v>
      </c>
      <c r="R12" s="121">
        <v>20538</v>
      </c>
      <c r="S12" s="121">
        <v>19521</v>
      </c>
      <c r="T12" s="122">
        <v>20457</v>
      </c>
      <c r="U12" s="123">
        <v>22410</v>
      </c>
      <c r="V12" s="121">
        <v>18930</v>
      </c>
      <c r="W12" s="122">
        <v>26828</v>
      </c>
      <c r="X12" s="121">
        <v>19551</v>
      </c>
      <c r="Y12" s="122">
        <v>12660.771526472865</v>
      </c>
      <c r="Z12" s="123">
        <v>21703.769205261415</v>
      </c>
      <c r="AA12" s="122">
        <v>15978.99856305958</v>
      </c>
      <c r="AB12" s="122">
        <v>14942.618445641419</v>
      </c>
      <c r="AC12" s="122">
        <v>8616.4</v>
      </c>
      <c r="AD12" s="122">
        <v>8761.9</v>
      </c>
      <c r="AE12" s="123">
        <v>11607.215051411069</v>
      </c>
      <c r="AF12" s="121">
        <v>9668.7832783278318</v>
      </c>
      <c r="AG12" s="121">
        <v>13301.286944400003</v>
      </c>
      <c r="AH12" s="122">
        <v>13962.579535000001</v>
      </c>
      <c r="AI12" s="122">
        <v>13938.691586000001</v>
      </c>
      <c r="AJ12" s="122">
        <v>5904</v>
      </c>
      <c r="AK12" s="122">
        <v>10219.99820996</v>
      </c>
      <c r="AL12" s="122">
        <v>4858.1807142100006</v>
      </c>
      <c r="AM12" s="122">
        <v>6109.6253729999989</v>
      </c>
      <c r="AN12" s="122">
        <v>11347.618015999999</v>
      </c>
      <c r="AO12" s="122">
        <v>9830.869394299998</v>
      </c>
      <c r="AP12" s="122">
        <v>7737.4129596000002</v>
      </c>
      <c r="AQ12" s="122">
        <v>9023.7394420000001</v>
      </c>
      <c r="AR12" s="123">
        <v>5111.5942349999996</v>
      </c>
      <c r="AS12" s="83">
        <f t="shared" si="0"/>
        <v>457791.88890758413</v>
      </c>
      <c r="AT12" s="307"/>
      <c r="AU12" s="428"/>
    </row>
    <row r="13" spans="1:47" ht="12.75" x14ac:dyDescent="0.2">
      <c r="A13" s="425" t="s">
        <v>140</v>
      </c>
      <c r="B13" s="50"/>
      <c r="C13" s="50"/>
      <c r="D13" s="50"/>
      <c r="E13" s="202"/>
      <c r="F13" s="202"/>
      <c r="G13" s="202"/>
      <c r="H13" s="202"/>
      <c r="I13" s="202"/>
      <c r="J13" s="50"/>
      <c r="K13" s="167"/>
      <c r="L13" s="202"/>
      <c r="M13" s="202"/>
      <c r="N13" s="202"/>
      <c r="O13" s="202"/>
      <c r="P13" s="202"/>
      <c r="Q13" s="202"/>
      <c r="R13" s="202"/>
      <c r="S13" s="202"/>
      <c r="T13" s="50"/>
      <c r="U13" s="167"/>
      <c r="V13" s="202"/>
      <c r="W13" s="50"/>
      <c r="X13" s="202"/>
      <c r="Y13" s="50"/>
      <c r="Z13" s="167"/>
      <c r="AA13" s="50"/>
      <c r="AB13" s="122">
        <v>69.253600087941081</v>
      </c>
      <c r="AC13" s="122">
        <v>55.6</v>
      </c>
      <c r="AD13" s="122">
        <v>55.2</v>
      </c>
      <c r="AE13" s="123">
        <v>27.346313716910956</v>
      </c>
      <c r="AF13" s="121">
        <v>7.0407040704070409</v>
      </c>
      <c r="AG13" s="121">
        <v>24.699870000000001</v>
      </c>
      <c r="AH13" s="122">
        <v>37.021705000000004</v>
      </c>
      <c r="AI13" s="122">
        <v>3.3412419999999998</v>
      </c>
      <c r="AJ13" s="122">
        <v>6.3</v>
      </c>
      <c r="AK13" s="122">
        <v>0</v>
      </c>
      <c r="AL13" s="122"/>
      <c r="AM13" s="122"/>
      <c r="AN13" s="122"/>
      <c r="AO13" s="122"/>
      <c r="AP13" s="122"/>
      <c r="AQ13" s="122"/>
      <c r="AR13" s="123"/>
      <c r="AS13" s="83">
        <f t="shared" si="0"/>
        <v>285.80343487525914</v>
      </c>
      <c r="AT13" s="307"/>
      <c r="AU13" s="429"/>
    </row>
    <row r="14" spans="1:47" ht="12.75" x14ac:dyDescent="0.2">
      <c r="A14" s="425" t="s">
        <v>141</v>
      </c>
      <c r="B14" s="50"/>
      <c r="C14" s="50"/>
      <c r="D14" s="50"/>
      <c r="E14" s="121"/>
      <c r="F14" s="121"/>
      <c r="G14" s="121"/>
      <c r="H14" s="121"/>
      <c r="I14" s="121"/>
      <c r="J14" s="122"/>
      <c r="K14" s="123"/>
      <c r="L14" s="121"/>
      <c r="M14" s="121"/>
      <c r="N14" s="121"/>
      <c r="O14" s="121"/>
      <c r="P14" s="121"/>
      <c r="Q14" s="121"/>
      <c r="R14" s="121"/>
      <c r="S14" s="121"/>
      <c r="T14" s="122"/>
      <c r="U14" s="123"/>
      <c r="V14" s="202"/>
      <c r="W14" s="50"/>
      <c r="X14" s="202"/>
      <c r="Y14" s="50"/>
      <c r="Z14" s="430"/>
      <c r="AA14" s="50"/>
      <c r="AB14" s="122">
        <v>40.123117511267452</v>
      </c>
      <c r="AC14" s="122">
        <v>433.1</v>
      </c>
      <c r="AD14" s="50">
        <v>72.400000000000006</v>
      </c>
      <c r="AE14" s="123">
        <v>43.972872456792828</v>
      </c>
      <c r="AF14" s="121">
        <v>155.3355335533553</v>
      </c>
      <c r="AG14" s="121">
        <v>65.503620000000012</v>
      </c>
      <c r="AH14" s="122">
        <v>71.237099999999998</v>
      </c>
      <c r="AI14" s="122">
        <v>1032.7779022</v>
      </c>
      <c r="AJ14" s="122">
        <v>89.8</v>
      </c>
      <c r="AK14" s="122">
        <v>0</v>
      </c>
      <c r="AL14" s="122"/>
      <c r="AM14" s="122"/>
      <c r="AN14" s="122"/>
      <c r="AO14" s="122"/>
      <c r="AP14" s="122"/>
      <c r="AQ14" s="122"/>
      <c r="AR14" s="123"/>
      <c r="AS14" s="83">
        <f t="shared" si="0"/>
        <v>2004.2501457214155</v>
      </c>
      <c r="AT14" s="307"/>
      <c r="AU14" s="429"/>
    </row>
    <row r="15" spans="1:47" ht="13.5" thickBot="1" x14ac:dyDescent="0.25">
      <c r="A15" s="431" t="s">
        <v>142</v>
      </c>
      <c r="B15" s="84"/>
      <c r="C15" s="84"/>
      <c r="D15" s="84"/>
      <c r="E15" s="175"/>
      <c r="F15" s="175"/>
      <c r="G15" s="175"/>
      <c r="H15" s="175"/>
      <c r="I15" s="175"/>
      <c r="J15" s="174"/>
      <c r="K15" s="119"/>
      <c r="L15" s="175"/>
      <c r="M15" s="175"/>
      <c r="N15" s="175"/>
      <c r="O15" s="175"/>
      <c r="P15" s="175"/>
      <c r="Q15" s="175"/>
      <c r="R15" s="175"/>
      <c r="S15" s="175"/>
      <c r="T15" s="174"/>
      <c r="U15" s="119"/>
      <c r="V15" s="119"/>
      <c r="W15" s="119"/>
      <c r="X15" s="119"/>
      <c r="Y15" s="119"/>
      <c r="Z15" s="119"/>
      <c r="AA15" s="174"/>
      <c r="AB15" s="174"/>
      <c r="AC15" s="174"/>
      <c r="AD15" s="174"/>
      <c r="AE15" s="119"/>
      <c r="AF15" s="258">
        <v>344.98349834983497</v>
      </c>
      <c r="AG15" s="258">
        <v>748.87395488100003</v>
      </c>
      <c r="AH15" s="259">
        <v>1240.71800588</v>
      </c>
      <c r="AI15" s="259">
        <v>923.92530359399996</v>
      </c>
      <c r="AJ15" s="259">
        <v>901.9</v>
      </c>
      <c r="AK15" s="259">
        <v>0</v>
      </c>
      <c r="AL15" s="259"/>
      <c r="AM15" s="259"/>
      <c r="AN15" s="259"/>
      <c r="AO15" s="259"/>
      <c r="AP15" s="259"/>
      <c r="AQ15" s="259"/>
      <c r="AR15" s="119"/>
      <c r="AS15" s="432">
        <f t="shared" si="0"/>
        <v>4160.400762704835</v>
      </c>
      <c r="AT15" s="307"/>
      <c r="AU15" s="429"/>
    </row>
    <row r="16" spans="1:47" s="437" customFormat="1" ht="14.25" thickTop="1" thickBot="1" x14ac:dyDescent="0.25">
      <c r="A16" s="433" t="s">
        <v>143</v>
      </c>
      <c r="B16" s="131">
        <f>SUM(B6:B15)</f>
        <v>2208.480565371025</v>
      </c>
      <c r="C16" s="131">
        <f t="shared" ref="C16:AR16" si="1">SUM(C6:C15)</f>
        <v>5079.5053003533567</v>
      </c>
      <c r="D16" s="131">
        <f t="shared" si="1"/>
        <v>4306.5371024734986</v>
      </c>
      <c r="E16" s="131">
        <f t="shared" si="1"/>
        <v>24239.178445229685</v>
      </c>
      <c r="F16" s="131">
        <f t="shared" si="1"/>
        <v>23022.305653710249</v>
      </c>
      <c r="G16" s="131">
        <f t="shared" si="1"/>
        <v>18965.326855123676</v>
      </c>
      <c r="H16" s="131">
        <f t="shared" si="1"/>
        <v>15106.007067137809</v>
      </c>
      <c r="I16" s="131">
        <f t="shared" si="1"/>
        <v>10400.839222614841</v>
      </c>
      <c r="J16" s="131">
        <f t="shared" si="1"/>
        <v>7384.0547703180218</v>
      </c>
      <c r="K16" s="131">
        <f t="shared" si="1"/>
        <v>12405.035335689046</v>
      </c>
      <c r="L16" s="131">
        <f t="shared" si="1"/>
        <v>8183.7092631993328</v>
      </c>
      <c r="M16" s="131">
        <f t="shared" si="1"/>
        <v>13318.864758976857</v>
      </c>
      <c r="N16" s="131">
        <f t="shared" si="1"/>
        <v>27658.377932534138</v>
      </c>
      <c r="O16" s="131">
        <f t="shared" si="1"/>
        <v>47263.416275349693</v>
      </c>
      <c r="P16" s="131">
        <f t="shared" si="1"/>
        <v>68032</v>
      </c>
      <c r="Q16" s="131">
        <f t="shared" si="1"/>
        <v>102231</v>
      </c>
      <c r="R16" s="131">
        <f t="shared" si="1"/>
        <v>45331.3</v>
      </c>
      <c r="S16" s="131">
        <f t="shared" si="1"/>
        <v>42711</v>
      </c>
      <c r="T16" s="131">
        <f t="shared" si="1"/>
        <v>34717</v>
      </c>
      <c r="U16" s="131">
        <f t="shared" si="1"/>
        <v>30586</v>
      </c>
      <c r="V16" s="131">
        <f t="shared" si="1"/>
        <v>30293</v>
      </c>
      <c r="W16" s="131">
        <f t="shared" si="1"/>
        <v>36173</v>
      </c>
      <c r="X16" s="131">
        <f t="shared" si="1"/>
        <v>37080</v>
      </c>
      <c r="Y16" s="131">
        <f t="shared" si="1"/>
        <v>23529.678346413177</v>
      </c>
      <c r="Z16" s="131">
        <f t="shared" si="1"/>
        <v>33334.88930417443</v>
      </c>
      <c r="AA16" s="131">
        <f t="shared" si="1"/>
        <v>29471.210345971042</v>
      </c>
      <c r="AB16" s="131">
        <f t="shared" si="1"/>
        <v>42510.388040013189</v>
      </c>
      <c r="AC16" s="131">
        <f t="shared" si="1"/>
        <v>23453.1</v>
      </c>
      <c r="AD16" s="131">
        <f t="shared" si="1"/>
        <v>26244.600000000002</v>
      </c>
      <c r="AE16" s="131">
        <f t="shared" si="1"/>
        <v>25630.723036534673</v>
      </c>
      <c r="AF16" s="131">
        <f t="shared" si="1"/>
        <v>22795.672167216726</v>
      </c>
      <c r="AG16" s="131">
        <f t="shared" si="1"/>
        <v>28825.64718147802</v>
      </c>
      <c r="AH16" s="434">
        <f t="shared" si="1"/>
        <v>29663.272360529001</v>
      </c>
      <c r="AI16" s="434">
        <f t="shared" si="1"/>
        <v>26781.878700233399</v>
      </c>
      <c r="AJ16" s="434">
        <f t="shared" si="1"/>
        <v>15838.499999999998</v>
      </c>
      <c r="AK16" s="132">
        <f t="shared" si="1"/>
        <v>15172.725634549999</v>
      </c>
      <c r="AL16" s="132">
        <f t="shared" si="1"/>
        <v>11103.690923540002</v>
      </c>
      <c r="AM16" s="133">
        <f t="shared" si="1"/>
        <v>16385.842252799997</v>
      </c>
      <c r="AN16" s="133">
        <f t="shared" si="1"/>
        <v>16114.368902799997</v>
      </c>
      <c r="AO16" s="133">
        <f t="shared" si="1"/>
        <v>13784.938033699998</v>
      </c>
      <c r="AP16" s="133">
        <f t="shared" si="1"/>
        <v>9974.8030025999997</v>
      </c>
      <c r="AQ16" s="133">
        <f t="shared" si="1"/>
        <v>11173.634682399999</v>
      </c>
      <c r="AR16" s="133">
        <f t="shared" si="1"/>
        <v>11491.121025</v>
      </c>
      <c r="AS16" s="435">
        <f t="shared" si="0"/>
        <v>1079976.6224880349</v>
      </c>
      <c r="AT16" s="436"/>
      <c r="AU16" s="411"/>
    </row>
    <row r="17" spans="1:51" ht="14.25" thickTop="1" thickBot="1" x14ac:dyDescent="0.25">
      <c r="AB17" s="438"/>
      <c r="AC17" s="439"/>
      <c r="AD17" s="440"/>
      <c r="AE17" s="260"/>
      <c r="AF17" s="260"/>
      <c r="AG17" s="260"/>
      <c r="AH17" s="261"/>
      <c r="AI17" s="261"/>
      <c r="AJ17" s="261"/>
      <c r="AK17" s="262"/>
      <c r="AL17" s="262"/>
      <c r="AM17" s="262"/>
      <c r="AN17" s="262"/>
      <c r="AO17" s="262"/>
      <c r="AP17" s="262"/>
      <c r="AQ17" s="262"/>
      <c r="AR17" s="262"/>
      <c r="AS17" s="263">
        <f>+(AS6+AS7+AS8+AS9+AS10+AS11+AS12+AS14+AS13+AS15)/(1000)</f>
        <v>1079.9766224880354</v>
      </c>
      <c r="AT17" s="411"/>
      <c r="AU17" s="411"/>
    </row>
    <row r="18" spans="1:51" ht="13.5" thickBot="1" x14ac:dyDescent="0.25">
      <c r="AB18" s="441"/>
      <c r="AC18" s="442"/>
      <c r="AD18" s="443"/>
      <c r="AE18" s="264"/>
      <c r="AF18" s="408">
        <f t="shared" ref="AF18:AQ18" si="2">+AF4</f>
        <v>0.90900000000000003</v>
      </c>
      <c r="AG18" s="409">
        <f t="shared" si="2"/>
        <v>1.0881000000000001</v>
      </c>
      <c r="AH18" s="444">
        <f t="shared" si="2"/>
        <v>1.07935</v>
      </c>
      <c r="AI18" s="444">
        <f t="shared" si="2"/>
        <v>1.07782</v>
      </c>
      <c r="AJ18" s="444">
        <f t="shared" si="2"/>
        <v>1.07613</v>
      </c>
      <c r="AK18" s="444">
        <f t="shared" si="2"/>
        <v>1.0699700000000001</v>
      </c>
      <c r="AL18" s="444">
        <f t="shared" si="2"/>
        <v>1.06063</v>
      </c>
      <c r="AM18" s="444">
        <f t="shared" si="2"/>
        <v>1.0613999999999999</v>
      </c>
      <c r="AN18" s="444">
        <f t="shared" si="2"/>
        <v>1.0653999999999999</v>
      </c>
      <c r="AO18" s="444">
        <f t="shared" si="2"/>
        <v>1.0603</v>
      </c>
      <c r="AP18" s="444">
        <f t="shared" si="2"/>
        <v>1.0642</v>
      </c>
      <c r="AQ18" s="444">
        <f t="shared" si="2"/>
        <v>1.0687</v>
      </c>
      <c r="AR18" s="444">
        <f>AR4</f>
        <v>1.0649999999999999</v>
      </c>
      <c r="AS18" s="265"/>
      <c r="AT18" s="411"/>
      <c r="AU18" s="411"/>
    </row>
    <row r="19" spans="1:51" s="418" customFormat="1" ht="39.75" thickTop="1" thickBot="1" x14ac:dyDescent="0.25">
      <c r="A19" s="314" t="s">
        <v>144</v>
      </c>
      <c r="B19" s="412">
        <v>1981</v>
      </c>
      <c r="C19" s="412">
        <v>1982</v>
      </c>
      <c r="D19" s="412">
        <v>1983</v>
      </c>
      <c r="E19" s="412">
        <v>1984</v>
      </c>
      <c r="F19" s="412">
        <v>1985</v>
      </c>
      <c r="G19" s="412">
        <v>1986</v>
      </c>
      <c r="H19" s="412">
        <v>1987</v>
      </c>
      <c r="I19" s="412">
        <v>1988</v>
      </c>
      <c r="J19" s="412">
        <v>1989</v>
      </c>
      <c r="K19" s="413" t="s">
        <v>35</v>
      </c>
      <c r="L19" s="412" t="s">
        <v>36</v>
      </c>
      <c r="M19" s="412">
        <v>1992</v>
      </c>
      <c r="N19" s="414">
        <v>1993</v>
      </c>
      <c r="O19" s="414">
        <v>1994</v>
      </c>
      <c r="P19" s="414">
        <v>1995</v>
      </c>
      <c r="Q19" s="414">
        <v>1996</v>
      </c>
      <c r="R19" s="412">
        <v>1997</v>
      </c>
      <c r="S19" s="414">
        <v>1998</v>
      </c>
      <c r="T19" s="412">
        <v>1999</v>
      </c>
      <c r="U19" s="415">
        <v>2000</v>
      </c>
      <c r="V19" s="415">
        <v>2001</v>
      </c>
      <c r="W19" s="415">
        <v>2002</v>
      </c>
      <c r="X19" s="415">
        <v>2003</v>
      </c>
      <c r="Y19" s="415">
        <v>2004</v>
      </c>
      <c r="Z19" s="415">
        <v>2005</v>
      </c>
      <c r="AA19" s="416" t="s">
        <v>116</v>
      </c>
      <c r="AB19" s="445">
        <v>2007</v>
      </c>
      <c r="AC19" s="311" t="s">
        <v>145</v>
      </c>
      <c r="AD19" s="311" t="s">
        <v>146</v>
      </c>
      <c r="AE19" s="311" t="s">
        <v>147</v>
      </c>
      <c r="AF19" s="311" t="s">
        <v>148</v>
      </c>
      <c r="AG19" s="311" t="s">
        <v>149</v>
      </c>
      <c r="AH19" s="446" t="s">
        <v>150</v>
      </c>
      <c r="AI19" s="446" t="s">
        <v>151</v>
      </c>
      <c r="AJ19" s="446" t="s">
        <v>152</v>
      </c>
      <c r="AK19" s="446" t="s">
        <v>153</v>
      </c>
      <c r="AL19" s="446" t="s">
        <v>154</v>
      </c>
      <c r="AM19" s="446" t="s">
        <v>155</v>
      </c>
      <c r="AN19" s="446" t="s">
        <v>156</v>
      </c>
      <c r="AO19" s="446" t="s">
        <v>157</v>
      </c>
      <c r="AP19" s="446" t="s">
        <v>158</v>
      </c>
      <c r="AQ19" s="446" t="s">
        <v>159</v>
      </c>
      <c r="AR19" s="446" t="s">
        <v>160</v>
      </c>
      <c r="AS19" s="447" t="s">
        <v>161</v>
      </c>
      <c r="AT19" s="411"/>
      <c r="AU19" s="411"/>
    </row>
    <row r="20" spans="1:51" ht="12.75" x14ac:dyDescent="0.2">
      <c r="A20" s="419" t="s">
        <v>133</v>
      </c>
      <c r="B20" s="65">
        <v>2208.480565371025</v>
      </c>
      <c r="C20" s="65">
        <v>5079.5053003533567</v>
      </c>
      <c r="D20" s="123">
        <v>4306.5371024734986</v>
      </c>
      <c r="E20" s="65">
        <v>23631.846289752652</v>
      </c>
      <c r="F20" s="65">
        <v>19599.160777385161</v>
      </c>
      <c r="G20" s="65">
        <v>15542.181978798588</v>
      </c>
      <c r="H20" s="65">
        <v>14222.614840989399</v>
      </c>
      <c r="I20" s="65">
        <v>9186.1749116607771</v>
      </c>
      <c r="J20" s="65">
        <v>6279.8144876325096</v>
      </c>
      <c r="K20" s="65">
        <v>10417.402826855125</v>
      </c>
      <c r="L20" s="65"/>
      <c r="M20" s="123"/>
      <c r="N20" s="121"/>
      <c r="O20" s="121"/>
      <c r="P20" s="121"/>
      <c r="Q20" s="121"/>
      <c r="R20" s="121"/>
      <c r="S20" s="121"/>
      <c r="T20" s="122"/>
      <c r="U20" s="123"/>
      <c r="V20" s="122"/>
      <c r="W20" s="205"/>
      <c r="X20" s="205"/>
      <c r="Y20" s="205"/>
      <c r="Z20" s="205"/>
      <c r="AA20" s="420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448"/>
      <c r="AM20" s="448"/>
      <c r="AN20" s="448"/>
      <c r="AO20" s="448"/>
      <c r="AP20" s="448"/>
      <c r="AQ20" s="448"/>
      <c r="AR20" s="448"/>
      <c r="AS20" s="449">
        <f>SUM(B20:AR20)</f>
        <v>110473.71908127208</v>
      </c>
      <c r="AT20" s="411"/>
      <c r="AU20" s="411"/>
    </row>
    <row r="21" spans="1:51" ht="12.75" x14ac:dyDescent="0.2">
      <c r="A21" s="425" t="s">
        <v>134</v>
      </c>
      <c r="B21" s="122"/>
      <c r="C21" s="122"/>
      <c r="D21" s="123"/>
      <c r="E21" s="181">
        <v>441.69611307420496</v>
      </c>
      <c r="F21" s="181">
        <v>2539.7526501766783</v>
      </c>
      <c r="G21" s="181">
        <v>2539.7526501766783</v>
      </c>
      <c r="H21" s="181">
        <v>662.54416961130744</v>
      </c>
      <c r="I21" s="181">
        <v>883.39222614840992</v>
      </c>
      <c r="J21" s="181">
        <v>772.96819787985874</v>
      </c>
      <c r="K21" s="181">
        <v>1435.5123674911661</v>
      </c>
      <c r="L21" s="181">
        <v>1283.1272084805655</v>
      </c>
      <c r="M21" s="182">
        <v>1766.7844522968198</v>
      </c>
      <c r="N21" s="180">
        <v>5410.7773851590109</v>
      </c>
      <c r="O21" s="180">
        <v>12698.763250883392</v>
      </c>
      <c r="P21" s="121">
        <v>19012</v>
      </c>
      <c r="Q21" s="121">
        <v>46844</v>
      </c>
      <c r="R21" s="121">
        <v>10436</v>
      </c>
      <c r="S21" s="121">
        <v>10904</v>
      </c>
      <c r="T21" s="122">
        <v>7932</v>
      </c>
      <c r="U21" s="123">
        <v>4095</v>
      </c>
      <c r="V21" s="122">
        <v>5082</v>
      </c>
      <c r="W21" s="122">
        <v>6681</v>
      </c>
      <c r="X21" s="122">
        <v>6798</v>
      </c>
      <c r="Y21" s="122">
        <v>4105.4294021927872</v>
      </c>
      <c r="Z21" s="122">
        <v>3594.7154518792149</v>
      </c>
      <c r="AA21" s="121">
        <v>3987.2731029714332</v>
      </c>
      <c r="AB21" s="122">
        <v>3471.7517000264838</v>
      </c>
      <c r="AC21" s="122">
        <v>2340.367565080935</v>
      </c>
      <c r="AD21" s="122">
        <v>1965.5095636821279</v>
      </c>
      <c r="AE21" s="122">
        <v>2629.1166831165847</v>
      </c>
      <c r="AF21" s="122">
        <v>2435.2592760858088</v>
      </c>
      <c r="AG21" s="122">
        <v>3013.8543841770042</v>
      </c>
      <c r="AH21" s="122">
        <v>1864.3925561500002</v>
      </c>
      <c r="AI21" s="122">
        <v>960.98538982000002</v>
      </c>
      <c r="AJ21" s="122">
        <v>1160.0999999999999</v>
      </c>
      <c r="AK21" s="122">
        <v>1101.5266252100002</v>
      </c>
      <c r="AL21" s="122">
        <v>2965.8958823899993</v>
      </c>
      <c r="AM21" s="122">
        <v>6161.2922022000002</v>
      </c>
      <c r="AN21" s="122">
        <v>3041.1906923999995</v>
      </c>
      <c r="AO21" s="122">
        <v>2522.6975689999999</v>
      </c>
      <c r="AP21" s="122">
        <v>1427.4518995999999</v>
      </c>
      <c r="AQ21" s="122">
        <v>1371.6363737500001</v>
      </c>
      <c r="AR21" s="123">
        <v>4070.1200849999996</v>
      </c>
      <c r="AS21" s="450">
        <f t="shared" ref="AS21:AS30" si="3">SUM(B21:AR21)</f>
        <v>202409.63707611058</v>
      </c>
      <c r="AT21" s="332"/>
      <c r="AU21" s="411"/>
    </row>
    <row r="22" spans="1:51" ht="12.75" x14ac:dyDescent="0.2">
      <c r="A22" s="425" t="s">
        <v>135</v>
      </c>
      <c r="B22" s="122"/>
      <c r="C22" s="122"/>
      <c r="D22" s="123"/>
      <c r="E22" s="122"/>
      <c r="F22" s="122"/>
      <c r="G22" s="122"/>
      <c r="H22" s="122"/>
      <c r="I22" s="122"/>
      <c r="J22" s="122"/>
      <c r="K22" s="122"/>
      <c r="L22" s="122"/>
      <c r="M22" s="123"/>
      <c r="N22" s="180">
        <v>30.918727915194349</v>
      </c>
      <c r="O22" s="180">
        <v>199.86749116607774</v>
      </c>
      <c r="P22" s="121">
        <v>155</v>
      </c>
      <c r="Q22" s="121">
        <v>30</v>
      </c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50"/>
      <c r="AN22" s="50"/>
      <c r="AO22" s="50"/>
      <c r="AP22" s="50"/>
      <c r="AQ22" s="50"/>
      <c r="AR22" s="167"/>
      <c r="AS22" s="450">
        <f t="shared" si="3"/>
        <v>415.78621908127207</v>
      </c>
      <c r="AT22" s="411"/>
      <c r="AU22" s="411"/>
    </row>
    <row r="23" spans="1:51" s="418" customFormat="1" ht="12.75" x14ac:dyDescent="0.2">
      <c r="A23" s="425" t="s">
        <v>136</v>
      </c>
      <c r="B23" s="122"/>
      <c r="C23" s="122"/>
      <c r="D23" s="123"/>
      <c r="E23" s="122"/>
      <c r="F23" s="122"/>
      <c r="G23" s="122"/>
      <c r="H23" s="122"/>
      <c r="I23" s="122"/>
      <c r="J23" s="122"/>
      <c r="K23" s="122"/>
      <c r="L23" s="122"/>
      <c r="M23" s="123"/>
      <c r="N23" s="121"/>
      <c r="O23" s="180">
        <v>1214.6643109540637</v>
      </c>
      <c r="P23" s="121">
        <v>863</v>
      </c>
      <c r="Q23" s="121">
        <v>34</v>
      </c>
      <c r="R23" s="121">
        <v>20</v>
      </c>
      <c r="S23" s="121">
        <v>16</v>
      </c>
      <c r="T23" s="122">
        <v>21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2"/>
      <c r="AN23" s="122"/>
      <c r="AO23" s="122"/>
      <c r="AP23" s="122"/>
      <c r="AQ23" s="122"/>
      <c r="AR23" s="123"/>
      <c r="AS23" s="450">
        <f t="shared" si="3"/>
        <v>2168.6643109540637</v>
      </c>
      <c r="AT23" s="411"/>
      <c r="AU23" s="411"/>
      <c r="AV23" s="402"/>
      <c r="AW23" s="402"/>
      <c r="AX23" s="402"/>
    </row>
    <row r="24" spans="1:51" s="418" customFormat="1" ht="12.75" x14ac:dyDescent="0.2">
      <c r="A24" s="425" t="s">
        <v>137</v>
      </c>
      <c r="B24" s="122"/>
      <c r="C24" s="122"/>
      <c r="D24" s="123"/>
      <c r="E24" s="122"/>
      <c r="F24" s="122"/>
      <c r="G24" s="122"/>
      <c r="H24" s="122"/>
      <c r="I24" s="122"/>
      <c r="J24" s="122"/>
      <c r="K24" s="122"/>
      <c r="L24" s="122"/>
      <c r="M24" s="123"/>
      <c r="N24" s="121"/>
      <c r="O24" s="121"/>
      <c r="P24" s="121">
        <v>360</v>
      </c>
      <c r="Q24" s="121">
        <v>220</v>
      </c>
      <c r="R24" s="121">
        <v>49</v>
      </c>
      <c r="S24" s="121"/>
      <c r="T24" s="122"/>
      <c r="U24" s="123">
        <v>5</v>
      </c>
      <c r="V24" s="122">
        <v>5373</v>
      </c>
      <c r="W24" s="122">
        <v>98</v>
      </c>
      <c r="X24" s="122">
        <v>8704</v>
      </c>
      <c r="Y24" s="122">
        <v>212.72244943075052</v>
      </c>
      <c r="Z24" s="122">
        <v>1019.973993278171</v>
      </c>
      <c r="AA24" s="121">
        <v>2911.793964850227</v>
      </c>
      <c r="AB24" s="122">
        <v>22116.917665164339</v>
      </c>
      <c r="AC24" s="122">
        <v>179.19011364890213</v>
      </c>
      <c r="AD24" s="122">
        <v>1833.2384497481937</v>
      </c>
      <c r="AE24" s="122">
        <v>2829.1402318967403</v>
      </c>
      <c r="AF24" s="122">
        <v>2307.810781078108</v>
      </c>
      <c r="AG24" s="122">
        <v>2583.3942225000001</v>
      </c>
      <c r="AH24" s="122">
        <v>3985.8139658499995</v>
      </c>
      <c r="AI24" s="122">
        <v>1413.12010162</v>
      </c>
      <c r="AJ24" s="122">
        <v>2377.8000000000002</v>
      </c>
      <c r="AK24" s="122">
        <v>2963.41887116</v>
      </c>
      <c r="AL24" s="122">
        <v>1600.0059620899999</v>
      </c>
      <c r="AM24" s="122">
        <v>619.03501499999993</v>
      </c>
      <c r="AN24" s="122">
        <v>0</v>
      </c>
      <c r="AO24" s="122">
        <v>0</v>
      </c>
      <c r="AP24" s="122">
        <v>0</v>
      </c>
      <c r="AQ24" s="122">
        <v>0</v>
      </c>
      <c r="AR24" s="123">
        <v>0</v>
      </c>
      <c r="AS24" s="450">
        <f t="shared" si="3"/>
        <v>63762.375787315425</v>
      </c>
      <c r="AT24" s="332"/>
      <c r="AU24" s="411"/>
      <c r="AV24" s="402"/>
      <c r="AW24" s="402"/>
      <c r="AX24" s="402"/>
    </row>
    <row r="25" spans="1:51" s="418" customFormat="1" ht="12.75" x14ac:dyDescent="0.2">
      <c r="A25" s="425" t="s">
        <v>138</v>
      </c>
      <c r="B25" s="122"/>
      <c r="C25" s="122"/>
      <c r="D25" s="123"/>
      <c r="E25" s="122"/>
      <c r="F25" s="122"/>
      <c r="G25" s="122"/>
      <c r="H25" s="122"/>
      <c r="I25" s="122"/>
      <c r="J25" s="122"/>
      <c r="K25" s="122"/>
      <c r="L25" s="122"/>
      <c r="M25" s="123"/>
      <c r="N25" s="121"/>
      <c r="O25" s="121"/>
      <c r="P25" s="121"/>
      <c r="Q25" s="121">
        <v>194</v>
      </c>
      <c r="R25" s="121">
        <v>285</v>
      </c>
      <c r="S25" s="121">
        <v>1462</v>
      </c>
      <c r="T25" s="122">
        <v>1011</v>
      </c>
      <c r="U25" s="123">
        <v>675</v>
      </c>
      <c r="V25" s="122">
        <v>247</v>
      </c>
      <c r="W25" s="122">
        <v>206</v>
      </c>
      <c r="X25" s="122">
        <v>3342</v>
      </c>
      <c r="Y25" s="122">
        <v>694.78974115252151</v>
      </c>
      <c r="Z25" s="122">
        <v>1065.4796670616322</v>
      </c>
      <c r="AA25" s="121">
        <v>241.23076284893168</v>
      </c>
      <c r="AB25" s="122">
        <v>27.81710160624591</v>
      </c>
      <c r="AC25" s="122">
        <v>13.027163092272655</v>
      </c>
      <c r="AD25" s="122">
        <v>-65.59457960753511</v>
      </c>
      <c r="AE25" s="122">
        <v>-75.072609257340915</v>
      </c>
      <c r="AF25" s="122">
        <v>78.717450888177609</v>
      </c>
      <c r="AG25" s="122">
        <v>-43.645747509000032</v>
      </c>
      <c r="AH25" s="122">
        <v>-40.879053649499994</v>
      </c>
      <c r="AI25" s="122">
        <v>-17.88134636780001</v>
      </c>
      <c r="AJ25" s="122">
        <v>-23.7</v>
      </c>
      <c r="AK25" s="122">
        <v>0</v>
      </c>
      <c r="AL25" s="122"/>
      <c r="AM25" s="122"/>
      <c r="AN25" s="122"/>
      <c r="AO25" s="122"/>
      <c r="AP25" s="122"/>
      <c r="AQ25" s="122"/>
      <c r="AR25" s="123"/>
      <c r="AS25" s="450">
        <f t="shared" si="3"/>
        <v>9276.2885502586068</v>
      </c>
      <c r="AT25" s="332"/>
      <c r="AU25" s="411"/>
      <c r="AV25" s="402"/>
      <c r="AW25" s="402"/>
      <c r="AX25" s="402"/>
    </row>
    <row r="26" spans="1:51" s="418" customFormat="1" ht="12.75" x14ac:dyDescent="0.2">
      <c r="A26" s="425" t="s">
        <v>139</v>
      </c>
      <c r="B26" s="122"/>
      <c r="C26" s="122"/>
      <c r="D26" s="123"/>
      <c r="E26" s="122"/>
      <c r="F26" s="122"/>
      <c r="G26" s="122"/>
      <c r="H26" s="122"/>
      <c r="I26" s="122"/>
      <c r="J26" s="122"/>
      <c r="K26" s="122"/>
      <c r="L26" s="122">
        <v>1268.4606324182296</v>
      </c>
      <c r="M26" s="123">
        <v>1104.2402826855125</v>
      </c>
      <c r="N26" s="121">
        <v>4637.809187279152</v>
      </c>
      <c r="O26" s="121">
        <v>5079.5053003533567</v>
      </c>
      <c r="P26" s="121">
        <f>3241+132+24+1703</f>
        <v>5100</v>
      </c>
      <c r="Q26" s="121">
        <v>2693</v>
      </c>
      <c r="R26" s="121">
        <v>710</v>
      </c>
      <c r="S26" s="121">
        <v>1325</v>
      </c>
      <c r="T26" s="122">
        <v>2322</v>
      </c>
      <c r="U26" s="123">
        <v>2756</v>
      </c>
      <c r="V26" s="122">
        <v>1958</v>
      </c>
      <c r="W26" s="122">
        <v>3205</v>
      </c>
      <c r="X26" s="122">
        <v>1833</v>
      </c>
      <c r="Y26" s="122">
        <v>911.63982756714938</v>
      </c>
      <c r="Z26" s="122">
        <v>1699.4195866032942</v>
      </c>
      <c r="AA26" s="121">
        <v>2009.6747266586035</v>
      </c>
      <c r="AB26" s="122">
        <v>4448.2371486152733</v>
      </c>
      <c r="AC26" s="122">
        <v>2388.8347790938815</v>
      </c>
      <c r="AD26" s="122">
        <v>2093.5402953013618</v>
      </c>
      <c r="AE26" s="122">
        <v>7296.7022642747743</v>
      </c>
      <c r="AF26" s="122">
        <v>5259.667128712872</v>
      </c>
      <c r="AG26" s="122">
        <v>6914.2067537400007</v>
      </c>
      <c r="AH26" s="122">
        <v>5129.8267449999994</v>
      </c>
      <c r="AI26" s="122">
        <v>5313.2150050800001</v>
      </c>
      <c r="AJ26" s="122">
        <v>2525.9</v>
      </c>
      <c r="AK26" s="122">
        <v>5618.0328995577001</v>
      </c>
      <c r="AL26" s="122">
        <v>2422.7335242314998</v>
      </c>
      <c r="AM26" s="122">
        <v>3662.4689097299993</v>
      </c>
      <c r="AN26" s="122">
        <v>7263.0427492000008</v>
      </c>
      <c r="AO26" s="122">
        <v>9471.1170263999993</v>
      </c>
      <c r="AP26" s="122">
        <v>3222.4454890000006</v>
      </c>
      <c r="AQ26" s="122">
        <v>3551.8212439000004</v>
      </c>
      <c r="AR26" s="123">
        <v>3314.6496615000001</v>
      </c>
      <c r="AS26" s="450">
        <f t="shared" si="3"/>
        <v>118509.19116690267</v>
      </c>
      <c r="AT26" s="332"/>
      <c r="AU26" s="411"/>
      <c r="AV26" s="402"/>
      <c r="AW26" s="402"/>
      <c r="AX26" s="402"/>
      <c r="AY26" s="402"/>
    </row>
    <row r="27" spans="1:51" s="418" customFormat="1" ht="12.75" x14ac:dyDescent="0.2">
      <c r="A27" s="425" t="s">
        <v>140</v>
      </c>
      <c r="B27" s="50"/>
      <c r="C27" s="50"/>
      <c r="D27" s="167"/>
      <c r="E27" s="50"/>
      <c r="F27" s="50"/>
      <c r="G27" s="50"/>
      <c r="H27" s="50"/>
      <c r="I27" s="50"/>
      <c r="J27" s="50"/>
      <c r="K27" s="50"/>
      <c r="L27" s="50"/>
      <c r="M27" s="167"/>
      <c r="N27" s="202"/>
      <c r="O27" s="202"/>
      <c r="P27" s="202"/>
      <c r="Q27" s="202"/>
      <c r="R27" s="202"/>
      <c r="S27" s="202"/>
      <c r="T27" s="50"/>
      <c r="U27" s="167"/>
      <c r="V27" s="50"/>
      <c r="W27" s="50"/>
      <c r="X27" s="50"/>
      <c r="Y27" s="50"/>
      <c r="Z27" s="50"/>
      <c r="AA27" s="202"/>
      <c r="AB27" s="122">
        <v>70.272007703392674</v>
      </c>
      <c r="AC27" s="122">
        <v>56.428507467015542</v>
      </c>
      <c r="AD27" s="122">
        <v>64.252891736576174</v>
      </c>
      <c r="AE27" s="122">
        <v>16.954714504484791</v>
      </c>
      <c r="AF27" s="122">
        <v>4.3652365236523654</v>
      </c>
      <c r="AG27" s="122">
        <v>15.313919400000003</v>
      </c>
      <c r="AH27" s="122">
        <v>22.990155000000001</v>
      </c>
      <c r="AI27" s="122">
        <v>2.0715700400000001</v>
      </c>
      <c r="AJ27" s="122">
        <v>3.9</v>
      </c>
      <c r="AK27" s="122">
        <v>0</v>
      </c>
      <c r="AL27" s="122"/>
      <c r="AM27" s="122"/>
      <c r="AN27" s="122"/>
      <c r="AO27" s="122"/>
      <c r="AP27" s="122"/>
      <c r="AQ27" s="122"/>
      <c r="AR27" s="123"/>
      <c r="AS27" s="450">
        <f t="shared" si="3"/>
        <v>256.54900237512157</v>
      </c>
      <c r="AT27" s="332"/>
      <c r="AU27" s="411"/>
      <c r="AV27" s="402"/>
      <c r="AW27" s="402"/>
      <c r="AX27" s="402"/>
      <c r="AY27" s="402"/>
    </row>
    <row r="28" spans="1:51" s="418" customFormat="1" ht="12.75" x14ac:dyDescent="0.2">
      <c r="A28" s="425" t="s">
        <v>141</v>
      </c>
      <c r="B28" s="122"/>
      <c r="C28" s="122"/>
      <c r="D28" s="123"/>
      <c r="E28" s="121"/>
      <c r="F28" s="121"/>
      <c r="G28" s="121"/>
      <c r="H28" s="121"/>
      <c r="I28" s="121"/>
      <c r="J28" s="122"/>
      <c r="K28" s="123"/>
      <c r="L28" s="121"/>
      <c r="M28" s="121"/>
      <c r="N28" s="121"/>
      <c r="O28" s="121"/>
      <c r="P28" s="121"/>
      <c r="Q28" s="121"/>
      <c r="R28" s="121"/>
      <c r="S28" s="121"/>
      <c r="T28" s="122"/>
      <c r="U28" s="123"/>
      <c r="V28" s="50"/>
      <c r="W28" s="50"/>
      <c r="X28" s="50"/>
      <c r="Y28" s="50"/>
      <c r="Z28" s="50"/>
      <c r="AA28" s="202"/>
      <c r="AB28" s="122">
        <v>35.70957458502803</v>
      </c>
      <c r="AC28" s="122">
        <v>385.44080326602671</v>
      </c>
      <c r="AD28" s="122">
        <v>64.406612656010509</v>
      </c>
      <c r="AE28" s="122">
        <v>38.023254223551398</v>
      </c>
      <c r="AF28" s="122">
        <v>134.31832291724274</v>
      </c>
      <c r="AG28" s="122">
        <v>56.640848247296027</v>
      </c>
      <c r="AH28" s="122">
        <v>61.630884999999992</v>
      </c>
      <c r="AI28" s="122">
        <v>888.19589394000002</v>
      </c>
      <c r="AJ28" s="122">
        <v>77.3</v>
      </c>
      <c r="AK28" s="122">
        <v>0</v>
      </c>
      <c r="AL28" s="122"/>
      <c r="AM28" s="122"/>
      <c r="AN28" s="122"/>
      <c r="AO28" s="122"/>
      <c r="AP28" s="122"/>
      <c r="AQ28" s="122"/>
      <c r="AR28" s="123"/>
      <c r="AS28" s="450">
        <f t="shared" si="3"/>
        <v>1741.6661948351555</v>
      </c>
      <c r="AT28" s="332"/>
      <c r="AU28" s="411"/>
      <c r="AV28" s="119"/>
    </row>
    <row r="29" spans="1:51" s="418" customFormat="1" ht="13.5" thickBot="1" x14ac:dyDescent="0.25">
      <c r="A29" s="431" t="s">
        <v>142</v>
      </c>
      <c r="B29" s="259"/>
      <c r="C29" s="259"/>
      <c r="D29" s="119"/>
      <c r="E29" s="175"/>
      <c r="F29" s="175"/>
      <c r="G29" s="175"/>
      <c r="H29" s="175"/>
      <c r="I29" s="175"/>
      <c r="J29" s="174"/>
      <c r="K29" s="119"/>
      <c r="L29" s="175"/>
      <c r="M29" s="175"/>
      <c r="N29" s="175"/>
      <c r="O29" s="175"/>
      <c r="P29" s="175"/>
      <c r="Q29" s="175"/>
      <c r="R29" s="175"/>
      <c r="S29" s="175"/>
      <c r="T29" s="174"/>
      <c r="U29" s="119"/>
      <c r="V29" s="259"/>
      <c r="W29" s="174"/>
      <c r="X29" s="174"/>
      <c r="Y29" s="174"/>
      <c r="Z29" s="174"/>
      <c r="AA29" s="175"/>
      <c r="AB29" s="259"/>
      <c r="AC29" s="259"/>
      <c r="AD29" s="259"/>
      <c r="AE29" s="259"/>
      <c r="AF29" s="259">
        <v>13.075388742283735</v>
      </c>
      <c r="AG29" s="259">
        <v>24.322408110000005</v>
      </c>
      <c r="AH29" s="259">
        <v>37.002384635000006</v>
      </c>
      <c r="AI29" s="259">
        <v>27.564492026</v>
      </c>
      <c r="AJ29" s="259">
        <v>85.9</v>
      </c>
      <c r="AK29" s="259">
        <v>0</v>
      </c>
      <c r="AL29" s="259"/>
      <c r="AM29" s="259"/>
      <c r="AN29" s="259"/>
      <c r="AO29" s="259"/>
      <c r="AP29" s="259"/>
      <c r="AQ29" s="259"/>
      <c r="AR29" s="119"/>
      <c r="AS29" s="451">
        <f t="shared" si="3"/>
        <v>187.86467351328375</v>
      </c>
      <c r="AT29" s="307"/>
      <c r="AU29" s="411"/>
      <c r="AV29" s="119"/>
    </row>
    <row r="30" spans="1:51" s="418" customFormat="1" ht="16.149999999999999" customHeight="1" thickTop="1" thickBot="1" x14ac:dyDescent="0.25">
      <c r="A30" s="433" t="s">
        <v>143</v>
      </c>
      <c r="B30" s="131">
        <f>SUM(B20:B29)</f>
        <v>2208.480565371025</v>
      </c>
      <c r="C30" s="131">
        <f t="shared" ref="C30:AR30" si="4">SUM(C20:C29)</f>
        <v>5079.5053003533567</v>
      </c>
      <c r="D30" s="131">
        <f t="shared" si="4"/>
        <v>4306.5371024734986</v>
      </c>
      <c r="E30" s="131">
        <f t="shared" si="4"/>
        <v>24073.542402826857</v>
      </c>
      <c r="F30" s="131">
        <f t="shared" si="4"/>
        <v>22138.913427561838</v>
      </c>
      <c r="G30" s="131">
        <f t="shared" si="4"/>
        <v>18081.934628975265</v>
      </c>
      <c r="H30" s="131">
        <f t="shared" si="4"/>
        <v>14885.159010600706</v>
      </c>
      <c r="I30" s="131">
        <f t="shared" si="4"/>
        <v>10069.567137809187</v>
      </c>
      <c r="J30" s="131">
        <f t="shared" si="4"/>
        <v>7052.7826855123685</v>
      </c>
      <c r="K30" s="131">
        <f t="shared" si="4"/>
        <v>11852.915194346291</v>
      </c>
      <c r="L30" s="131">
        <f t="shared" si="4"/>
        <v>2551.5878408987951</v>
      </c>
      <c r="M30" s="131">
        <f t="shared" si="4"/>
        <v>2871.0247349823321</v>
      </c>
      <c r="N30" s="131">
        <f t="shared" si="4"/>
        <v>10079.505300353358</v>
      </c>
      <c r="O30" s="131">
        <f t="shared" si="4"/>
        <v>19192.800353356892</v>
      </c>
      <c r="P30" s="131">
        <f t="shared" si="4"/>
        <v>25490</v>
      </c>
      <c r="Q30" s="131">
        <f t="shared" si="4"/>
        <v>50015</v>
      </c>
      <c r="R30" s="131">
        <f t="shared" si="4"/>
        <v>11500</v>
      </c>
      <c r="S30" s="131">
        <f t="shared" si="4"/>
        <v>13707</v>
      </c>
      <c r="T30" s="131">
        <f t="shared" si="4"/>
        <v>11286</v>
      </c>
      <c r="U30" s="131">
        <f t="shared" si="4"/>
        <v>7531</v>
      </c>
      <c r="V30" s="131">
        <f t="shared" si="4"/>
        <v>12660</v>
      </c>
      <c r="W30" s="131">
        <f t="shared" si="4"/>
        <v>10190</v>
      </c>
      <c r="X30" s="131">
        <f t="shared" si="4"/>
        <v>20677</v>
      </c>
      <c r="Y30" s="131">
        <f t="shared" si="4"/>
        <v>5924.5814203432083</v>
      </c>
      <c r="Z30" s="131">
        <f t="shared" si="4"/>
        <v>7379.5886988223128</v>
      </c>
      <c r="AA30" s="131">
        <f t="shared" si="4"/>
        <v>9149.9725573291944</v>
      </c>
      <c r="AB30" s="131">
        <f t="shared" si="4"/>
        <v>30170.705197700761</v>
      </c>
      <c r="AC30" s="131">
        <f t="shared" si="4"/>
        <v>5363.2889316490327</v>
      </c>
      <c r="AD30" s="131">
        <f t="shared" si="4"/>
        <v>5955.3532335167347</v>
      </c>
      <c r="AE30" s="131">
        <f t="shared" si="4"/>
        <v>12734.864538758795</v>
      </c>
      <c r="AF30" s="131">
        <f t="shared" si="4"/>
        <v>10233.213584948146</v>
      </c>
      <c r="AG30" s="131">
        <f t="shared" si="4"/>
        <v>12564.0867886653</v>
      </c>
      <c r="AH30" s="452">
        <f t="shared" si="4"/>
        <v>11060.777637985499</v>
      </c>
      <c r="AI30" s="452">
        <f t="shared" si="4"/>
        <v>8587.2711061581995</v>
      </c>
      <c r="AJ30" s="452">
        <f t="shared" si="4"/>
        <v>6207.2</v>
      </c>
      <c r="AK30" s="452">
        <f t="shared" si="4"/>
        <v>9682.9783959277011</v>
      </c>
      <c r="AL30" s="452">
        <f t="shared" si="4"/>
        <v>6988.6353687114988</v>
      </c>
      <c r="AM30" s="453">
        <f t="shared" si="4"/>
        <v>10442.796126929999</v>
      </c>
      <c r="AN30" s="453">
        <f t="shared" si="4"/>
        <v>10304.233441600001</v>
      </c>
      <c r="AO30" s="453">
        <f t="shared" si="4"/>
        <v>11993.814595399999</v>
      </c>
      <c r="AP30" s="453">
        <f t="shared" si="4"/>
        <v>4649.8973886000003</v>
      </c>
      <c r="AQ30" s="453">
        <f t="shared" si="4"/>
        <v>4923.4576176500004</v>
      </c>
      <c r="AR30" s="453">
        <f t="shared" si="4"/>
        <v>7384.7697465000001</v>
      </c>
      <c r="AS30" s="454">
        <f t="shared" si="3"/>
        <v>509201.74206261814</v>
      </c>
      <c r="AT30" s="436"/>
      <c r="AU30" s="119"/>
    </row>
    <row r="31" spans="1:51" s="418" customFormat="1" ht="14.25" thickTop="1" thickBot="1" x14ac:dyDescent="0.25">
      <c r="A31" s="455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7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456"/>
      <c r="AR31" s="456"/>
      <c r="AS31" s="115">
        <f>+(AS20+AS21+AS22+AS23+AS24+AS25+AS26+AS27+AS28+AS29)/(1000)</f>
        <v>509.20174206261822</v>
      </c>
      <c r="AT31" s="411"/>
      <c r="AU31" s="119"/>
    </row>
    <row r="32" spans="1:51" ht="13.5" thickBot="1" x14ac:dyDescent="0.25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7"/>
      <c r="AC32" s="118"/>
      <c r="AD32" s="118"/>
      <c r="AE32" s="118"/>
      <c r="AF32" s="408">
        <v>0.93079999999999996</v>
      </c>
      <c r="AG32" s="409">
        <v>1.06732</v>
      </c>
      <c r="AH32" s="410">
        <v>1.0623800000000001</v>
      </c>
      <c r="AI32" s="410">
        <v>1.06107</v>
      </c>
      <c r="AJ32" s="410">
        <v>1.06006</v>
      </c>
      <c r="AK32" s="410">
        <v>1.0535699999999999</v>
      </c>
      <c r="AL32" s="410">
        <v>1.0483499999999999</v>
      </c>
      <c r="AM32" s="410">
        <v>1.0483</v>
      </c>
      <c r="AN32" s="410">
        <v>1.0510999999999999</v>
      </c>
      <c r="AO32" s="410">
        <v>1.0469999999999999</v>
      </c>
      <c r="AP32" s="410">
        <v>1.0495000000000001</v>
      </c>
      <c r="AQ32" s="410">
        <v>1.0531999999999999</v>
      </c>
      <c r="AR32" s="410">
        <v>1.0508</v>
      </c>
      <c r="AS32" s="402"/>
      <c r="AT32" s="119"/>
      <c r="AU32" s="402"/>
      <c r="AW32" s="411"/>
    </row>
    <row r="33" spans="1:64" s="418" customFormat="1" ht="27" thickTop="1" thickBot="1" x14ac:dyDescent="0.25">
      <c r="A33" s="314" t="s">
        <v>162</v>
      </c>
      <c r="B33" s="412">
        <v>1981</v>
      </c>
      <c r="C33" s="412">
        <v>1982</v>
      </c>
      <c r="D33" s="412">
        <v>1983</v>
      </c>
      <c r="E33" s="412">
        <v>1984</v>
      </c>
      <c r="F33" s="412">
        <v>1985</v>
      </c>
      <c r="G33" s="412">
        <v>1986</v>
      </c>
      <c r="H33" s="412">
        <v>1987</v>
      </c>
      <c r="I33" s="412">
        <v>1988</v>
      </c>
      <c r="J33" s="412">
        <v>1989</v>
      </c>
      <c r="K33" s="413" t="s">
        <v>35</v>
      </c>
      <c r="L33" s="412" t="s">
        <v>36</v>
      </c>
      <c r="M33" s="412">
        <v>1992</v>
      </c>
      <c r="N33" s="414">
        <v>1993</v>
      </c>
      <c r="O33" s="414">
        <v>1994</v>
      </c>
      <c r="P33" s="414">
        <v>1995</v>
      </c>
      <c r="Q33" s="414">
        <v>1996</v>
      </c>
      <c r="R33" s="412">
        <v>1997</v>
      </c>
      <c r="S33" s="414">
        <v>1998</v>
      </c>
      <c r="T33" s="412">
        <f>+T5</f>
        <v>1999</v>
      </c>
      <c r="U33" s="458">
        <f>+U5</f>
        <v>2000</v>
      </c>
      <c r="V33" s="458">
        <v>2001</v>
      </c>
      <c r="W33" s="415">
        <v>2002</v>
      </c>
      <c r="X33" s="415">
        <v>2003</v>
      </c>
      <c r="Y33" s="415">
        <v>2004</v>
      </c>
      <c r="Z33" s="415">
        <v>2005</v>
      </c>
      <c r="AA33" s="416" t="s">
        <v>116</v>
      </c>
      <c r="AB33" s="445">
        <v>2007</v>
      </c>
      <c r="AC33" s="311" t="s">
        <v>163</v>
      </c>
      <c r="AD33" s="311" t="s">
        <v>164</v>
      </c>
      <c r="AE33" s="311" t="s">
        <v>165</v>
      </c>
      <c r="AF33" s="311" t="s">
        <v>166</v>
      </c>
      <c r="AG33" s="311" t="s">
        <v>167</v>
      </c>
      <c r="AH33" s="311" t="s">
        <v>168</v>
      </c>
      <c r="AI33" s="311" t="s">
        <v>169</v>
      </c>
      <c r="AJ33" s="311" t="s">
        <v>170</v>
      </c>
      <c r="AK33" s="311" t="s">
        <v>171</v>
      </c>
      <c r="AL33" s="311" t="s">
        <v>172</v>
      </c>
      <c r="AM33" s="311" t="s">
        <v>173</v>
      </c>
      <c r="AN33" s="311" t="s">
        <v>174</v>
      </c>
      <c r="AO33" s="311" t="s">
        <v>175</v>
      </c>
      <c r="AP33" s="311" t="s">
        <v>176</v>
      </c>
      <c r="AQ33" s="311" t="s">
        <v>177</v>
      </c>
      <c r="AR33" s="311" t="s">
        <v>178</v>
      </c>
      <c r="AS33" s="447" t="s">
        <v>179</v>
      </c>
      <c r="AU33" s="411"/>
      <c r="AV33" s="411"/>
      <c r="AW33" s="411"/>
    </row>
    <row r="34" spans="1:64" ht="13.5" thickTop="1" x14ac:dyDescent="0.2">
      <c r="A34" s="419" t="s">
        <v>133</v>
      </c>
      <c r="B34" s="459"/>
      <c r="C34" s="459"/>
      <c r="D34" s="459"/>
      <c r="E34" s="460"/>
      <c r="F34" s="460"/>
      <c r="G34" s="460"/>
      <c r="H34" s="460"/>
      <c r="I34" s="460"/>
      <c r="J34" s="461"/>
      <c r="K34" s="462"/>
      <c r="L34" s="460"/>
      <c r="M34" s="181"/>
      <c r="N34" s="463"/>
      <c r="O34" s="463"/>
      <c r="P34" s="463"/>
      <c r="Q34" s="464"/>
      <c r="R34" s="465"/>
      <c r="S34" s="466"/>
      <c r="T34" s="464"/>
      <c r="U34" s="467"/>
      <c r="V34" s="466"/>
      <c r="W34" s="464"/>
      <c r="X34" s="464"/>
      <c r="Y34" s="464"/>
      <c r="Z34" s="464"/>
      <c r="AA34" s="466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9"/>
      <c r="AS34" s="470">
        <f>SUM(B34:AL34)</f>
        <v>0</v>
      </c>
      <c r="AU34" s="120" t="s">
        <v>180</v>
      </c>
      <c r="AV34" s="77"/>
      <c r="AW34" s="471"/>
    </row>
    <row r="35" spans="1:64" x14ac:dyDescent="0.2">
      <c r="A35" s="425" t="s">
        <v>134</v>
      </c>
      <c r="B35" s="463"/>
      <c r="C35" s="463"/>
      <c r="D35" s="463"/>
      <c r="E35" s="460">
        <v>3669724.7706422019</v>
      </c>
      <c r="F35" s="460">
        <v>20075553.157042634</v>
      </c>
      <c r="G35" s="460">
        <v>7015650.2968159737</v>
      </c>
      <c r="H35" s="460">
        <v>5504587.1559633026</v>
      </c>
      <c r="I35" s="472">
        <v>3022126.2817053427</v>
      </c>
      <c r="J35" s="472">
        <v>4317323.2595790606</v>
      </c>
      <c r="K35" s="472">
        <v>13923367.512142472</v>
      </c>
      <c r="L35" s="472">
        <v>6821370.750134916</v>
      </c>
      <c r="M35" s="472">
        <v>10264436.049649218</v>
      </c>
      <c r="N35" s="472">
        <v>47376769.562871024</v>
      </c>
      <c r="O35" s="460">
        <v>111498974.63572586</v>
      </c>
      <c r="P35" s="50">
        <v>173699764</v>
      </c>
      <c r="Q35" s="121">
        <v>307450192</v>
      </c>
      <c r="R35" s="121">
        <v>80635841</v>
      </c>
      <c r="S35" s="121">
        <v>70578895</v>
      </c>
      <c r="T35" s="122">
        <v>25336292</v>
      </c>
      <c r="U35" s="123">
        <v>13082345</v>
      </c>
      <c r="V35" s="121">
        <v>16177163</v>
      </c>
      <c r="W35" s="122">
        <v>21355110</v>
      </c>
      <c r="X35" s="122">
        <v>21908401</v>
      </c>
      <c r="Y35" s="122">
        <v>30339809</v>
      </c>
      <c r="Z35" s="122">
        <v>26654054.363259982</v>
      </c>
      <c r="AA35" s="121">
        <v>30450969.351005103</v>
      </c>
      <c r="AB35" s="122">
        <v>26896050.912636969</v>
      </c>
      <c r="AC35" s="122">
        <v>17763261.338609051</v>
      </c>
      <c r="AD35" s="122">
        <v>15667673.64079201</v>
      </c>
      <c r="AE35" s="122">
        <v>20929062.321382459</v>
      </c>
      <c r="AF35" s="122">
        <v>19302515.777537137</v>
      </c>
      <c r="AG35" s="122">
        <v>23921044.255824059</v>
      </c>
      <c r="AH35" s="122">
        <v>14743561.650466003</v>
      </c>
      <c r="AI35" s="122">
        <v>9797291.309165936</v>
      </c>
      <c r="AJ35" s="122">
        <f>9.07*10000000</f>
        <v>90700000</v>
      </c>
      <c r="AK35" s="122">
        <v>8560250.2446509991</v>
      </c>
      <c r="AL35" s="122">
        <v>23149016.819699999</v>
      </c>
      <c r="AM35" s="122">
        <v>48086704.006549999</v>
      </c>
      <c r="AN35" s="122">
        <v>23557687.93496</v>
      </c>
      <c r="AO35" s="122">
        <v>19467689.439899992</v>
      </c>
      <c r="AP35" s="122">
        <v>11001532.04435</v>
      </c>
      <c r="AQ35" s="122">
        <v>10563909.011039997</v>
      </c>
      <c r="AR35" s="123">
        <v>31384195.395600796</v>
      </c>
      <c r="AS35" s="83">
        <f>SUM(B35:AR35)</f>
        <v>1466650165.2497022</v>
      </c>
      <c r="AT35" s="332"/>
      <c r="AU35" s="124">
        <f>1984+20</f>
        <v>2004</v>
      </c>
      <c r="AV35" s="125" t="s">
        <v>181</v>
      </c>
      <c r="AW35" s="473" t="s">
        <v>182</v>
      </c>
    </row>
    <row r="36" spans="1:64" x14ac:dyDescent="0.2">
      <c r="A36" s="425" t="s">
        <v>135</v>
      </c>
      <c r="B36" s="463"/>
      <c r="C36" s="463"/>
      <c r="D36" s="463"/>
      <c r="E36" s="474"/>
      <c r="F36" s="474"/>
      <c r="G36" s="474"/>
      <c r="H36" s="474"/>
      <c r="I36" s="474"/>
      <c r="J36" s="463"/>
      <c r="K36" s="475"/>
      <c r="L36" s="474"/>
      <c r="M36" s="121"/>
      <c r="N36" s="476">
        <v>32247.166756610903</v>
      </c>
      <c r="O36" s="476">
        <v>221107.39341608202</v>
      </c>
      <c r="P36" s="476">
        <v>158383</v>
      </c>
      <c r="Q36" s="476">
        <v>78270</v>
      </c>
      <c r="R36" s="476">
        <v>860</v>
      </c>
      <c r="S36" s="466"/>
      <c r="T36" s="464"/>
      <c r="U36" s="467"/>
      <c r="V36" s="466"/>
      <c r="W36" s="464"/>
      <c r="X36" s="464"/>
      <c r="Y36" s="464"/>
      <c r="Z36" s="464"/>
      <c r="AA36" s="466"/>
      <c r="AB36" s="464"/>
      <c r="AC36" s="464"/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464"/>
      <c r="AQ36" s="464"/>
      <c r="AR36" s="467"/>
      <c r="AS36" s="83">
        <f t="shared" ref="AS36:AS44" si="5">SUM(B36:AR36)</f>
        <v>490867.56017269293</v>
      </c>
      <c r="AU36" s="126">
        <f>1993+15</f>
        <v>2008</v>
      </c>
      <c r="AV36" s="127" t="s">
        <v>183</v>
      </c>
      <c r="AW36" s="473" t="s">
        <v>184</v>
      </c>
    </row>
    <row r="37" spans="1:64" x14ac:dyDescent="0.2">
      <c r="A37" s="425" t="s">
        <v>136</v>
      </c>
      <c r="B37" s="463"/>
      <c r="C37" s="463"/>
      <c r="D37" s="463"/>
      <c r="E37" s="474"/>
      <c r="F37" s="474"/>
      <c r="G37" s="474"/>
      <c r="H37" s="474"/>
      <c r="I37" s="474"/>
      <c r="J37" s="463"/>
      <c r="K37" s="475"/>
      <c r="L37" s="474"/>
      <c r="M37" s="121"/>
      <c r="N37" s="474"/>
      <c r="O37" s="474"/>
      <c r="P37" s="474"/>
      <c r="Q37" s="121"/>
      <c r="R37" s="121"/>
      <c r="S37" s="466"/>
      <c r="T37" s="464"/>
      <c r="U37" s="467"/>
      <c r="V37" s="466"/>
      <c r="W37" s="464"/>
      <c r="X37" s="464"/>
      <c r="Y37" s="464"/>
      <c r="Z37" s="464"/>
      <c r="AA37" s="466"/>
      <c r="AB37" s="464"/>
      <c r="AC37" s="464"/>
      <c r="AD37" s="464"/>
      <c r="AE37" s="464"/>
      <c r="AF37" s="464"/>
      <c r="AG37" s="464"/>
      <c r="AH37" s="464"/>
      <c r="AI37" s="464"/>
      <c r="AJ37" s="464"/>
      <c r="AK37" s="464"/>
      <c r="AL37" s="464"/>
      <c r="AM37" s="464"/>
      <c r="AN37" s="464"/>
      <c r="AO37" s="464"/>
      <c r="AP37" s="464"/>
      <c r="AQ37" s="464"/>
      <c r="AR37" s="467"/>
      <c r="AS37" s="83">
        <f t="shared" si="5"/>
        <v>0</v>
      </c>
      <c r="AU37" s="126"/>
      <c r="AV37" s="127"/>
      <c r="AW37" s="477"/>
    </row>
    <row r="38" spans="1:64" x14ac:dyDescent="0.2">
      <c r="A38" s="425" t="s">
        <v>137</v>
      </c>
      <c r="B38" s="463"/>
      <c r="C38" s="463"/>
      <c r="D38" s="463"/>
      <c r="E38" s="474"/>
      <c r="F38" s="474"/>
      <c r="G38" s="474"/>
      <c r="H38" s="474"/>
      <c r="I38" s="474"/>
      <c r="J38" s="463"/>
      <c r="K38" s="475"/>
      <c r="L38" s="474"/>
      <c r="M38" s="121"/>
      <c r="N38" s="474"/>
      <c r="O38" s="474"/>
      <c r="P38" s="476">
        <v>2228290</v>
      </c>
      <c r="Q38" s="476">
        <v>2630156</v>
      </c>
      <c r="R38" s="476">
        <v>238609</v>
      </c>
      <c r="S38" s="466"/>
      <c r="T38" s="464"/>
      <c r="U38" s="467"/>
      <c r="V38" s="121">
        <v>40267290</v>
      </c>
      <c r="W38" s="122"/>
      <c r="X38" s="122">
        <v>45089176</v>
      </c>
      <c r="Y38" s="122">
        <v>619414</v>
      </c>
      <c r="Z38" s="122">
        <v>1885635.1216980701</v>
      </c>
      <c r="AA38" s="121">
        <v>13560743.22134601</v>
      </c>
      <c r="AB38" s="122">
        <v>113704443.12796208</v>
      </c>
      <c r="AC38" s="122">
        <v>1145180.787911495</v>
      </c>
      <c r="AD38" s="122">
        <v>13658013.116869153</v>
      </c>
      <c r="AE38" s="122">
        <v>13677065.524729107</v>
      </c>
      <c r="AF38" s="122">
        <v>10742743.876235498</v>
      </c>
      <c r="AG38" s="122">
        <v>13033294.272879999</v>
      </c>
      <c r="AH38" s="122">
        <v>27305290.760000002</v>
      </c>
      <c r="AI38" s="122">
        <v>12909689.708069999</v>
      </c>
      <c r="AJ38" s="122">
        <f>15.9*1000000</f>
        <v>15900000</v>
      </c>
      <c r="AK38" s="122">
        <v>19808037.873749997</v>
      </c>
      <c r="AL38" s="122">
        <v>13405482.086999999</v>
      </c>
      <c r="AM38" s="122">
        <v>2469511.7590000001</v>
      </c>
      <c r="AN38" s="122">
        <v>0</v>
      </c>
      <c r="AO38" s="122">
        <v>0</v>
      </c>
      <c r="AP38" s="122">
        <v>0</v>
      </c>
      <c r="AQ38" s="122">
        <v>0</v>
      </c>
      <c r="AR38" s="123">
        <v>0</v>
      </c>
      <c r="AS38" s="83">
        <f t="shared" si="5"/>
        <v>364278066.23745137</v>
      </c>
      <c r="AT38" s="332"/>
      <c r="AU38" s="126">
        <f>1995+15</f>
        <v>2010</v>
      </c>
      <c r="AV38" s="127" t="s">
        <v>185</v>
      </c>
      <c r="AW38" s="473" t="s">
        <v>137</v>
      </c>
    </row>
    <row r="39" spans="1:64" x14ac:dyDescent="0.2">
      <c r="A39" s="425" t="s">
        <v>138</v>
      </c>
      <c r="B39" s="463"/>
      <c r="C39" s="463"/>
      <c r="D39" s="463"/>
      <c r="E39" s="474"/>
      <c r="F39" s="474"/>
      <c r="G39" s="474"/>
      <c r="H39" s="474"/>
      <c r="I39" s="474"/>
      <c r="J39" s="463"/>
      <c r="K39" s="475"/>
      <c r="L39" s="474"/>
      <c r="M39" s="474"/>
      <c r="N39" s="474"/>
      <c r="O39" s="474"/>
      <c r="P39" s="474"/>
      <c r="Q39" s="476">
        <v>1439490</v>
      </c>
      <c r="R39" s="476">
        <v>24808281</v>
      </c>
      <c r="S39" s="476">
        <v>7002519</v>
      </c>
      <c r="T39" s="122">
        <v>8731139</v>
      </c>
      <c r="U39" s="123">
        <v>5466372</v>
      </c>
      <c r="V39" s="121">
        <v>2242582</v>
      </c>
      <c r="W39" s="122">
        <v>4323959</v>
      </c>
      <c r="X39" s="122">
        <v>5853422</v>
      </c>
      <c r="Y39" s="122">
        <v>8679946</v>
      </c>
      <c r="Z39" s="122">
        <v>10149864.286807273</v>
      </c>
      <c r="AA39" s="121">
        <v>10466104.136176074</v>
      </c>
      <c r="AB39" s="122">
        <v>16062282.147997485</v>
      </c>
      <c r="AC39" s="122">
        <v>20338275.752276938</v>
      </c>
      <c r="AD39" s="122">
        <v>23842891.273001689</v>
      </c>
      <c r="AE39" s="122">
        <v>13867822.555717668</v>
      </c>
      <c r="AF39" s="122">
        <v>12575052.908664607</v>
      </c>
      <c r="AG39" s="122">
        <v>14450217.949304415</v>
      </c>
      <c r="AH39" s="122">
        <v>14151832.351117998</v>
      </c>
      <c r="AI39" s="122">
        <v>14661990.288319832</v>
      </c>
      <c r="AJ39" s="122">
        <f>9.15*1000000</f>
        <v>9150000</v>
      </c>
      <c r="AK39" s="122">
        <v>524150.02143000002</v>
      </c>
      <c r="AL39" s="122"/>
      <c r="AM39" s="122"/>
      <c r="AN39" s="122"/>
      <c r="AO39" s="122"/>
      <c r="AP39" s="122"/>
      <c r="AQ39" s="122"/>
      <c r="AR39" s="123"/>
      <c r="AS39" s="83">
        <f t="shared" si="5"/>
        <v>228788193.67081398</v>
      </c>
      <c r="AT39" s="332"/>
      <c r="AU39" s="124">
        <f>1996+15</f>
        <v>2011</v>
      </c>
      <c r="AV39" s="125" t="s">
        <v>185</v>
      </c>
      <c r="AW39" s="473" t="s">
        <v>186</v>
      </c>
    </row>
    <row r="40" spans="1:64" x14ac:dyDescent="0.2">
      <c r="A40" s="425" t="s">
        <v>139</v>
      </c>
      <c r="B40" s="463"/>
      <c r="C40" s="463"/>
      <c r="D40" s="463"/>
      <c r="E40" s="474"/>
      <c r="F40" s="474"/>
      <c r="G40" s="474"/>
      <c r="H40" s="474"/>
      <c r="I40" s="474"/>
      <c r="J40" s="463"/>
      <c r="K40" s="475"/>
      <c r="L40" s="476">
        <v>18024348.62385321</v>
      </c>
      <c r="M40" s="476">
        <v>25277677.280086346</v>
      </c>
      <c r="N40" s="476">
        <v>35149004.856988668</v>
      </c>
      <c r="O40" s="476">
        <v>43167370.750134915</v>
      </c>
      <c r="P40" s="476">
        <f>21381425-451860+1927357+21563077</f>
        <v>44419999</v>
      </c>
      <c r="Q40" s="121">
        <v>51115425</v>
      </c>
      <c r="R40" s="121">
        <v>28757646</v>
      </c>
      <c r="S40" s="121">
        <v>27456579</v>
      </c>
      <c r="T40" s="122">
        <v>48721047</v>
      </c>
      <c r="U40" s="123">
        <v>50724003</v>
      </c>
      <c r="V40" s="121">
        <v>52587448</v>
      </c>
      <c r="W40" s="122">
        <v>68286661</v>
      </c>
      <c r="X40" s="122">
        <v>46576990</v>
      </c>
      <c r="Y40" s="122">
        <v>35329694</v>
      </c>
      <c r="Z40" s="122">
        <v>61167650.515567504</v>
      </c>
      <c r="AA40" s="121">
        <v>53311901.960294828</v>
      </c>
      <c r="AB40" s="122">
        <v>6636160.9287419068</v>
      </c>
      <c r="AC40" s="122">
        <v>17425146.661895875</v>
      </c>
      <c r="AD40" s="122">
        <v>15363324.259661002</v>
      </c>
      <c r="AE40" s="122">
        <v>13930760.448640252</v>
      </c>
      <c r="AF40" s="122">
        <v>20427965.113065865</v>
      </c>
      <c r="AG40" s="122">
        <v>15755601.631871931</v>
      </c>
      <c r="AH40" s="122">
        <v>14902520.576680005</v>
      </c>
      <c r="AI40" s="122">
        <v>14166281.17153956</v>
      </c>
      <c r="AJ40" s="122">
        <f>11.55*1000000</f>
        <v>11550000</v>
      </c>
      <c r="AK40" s="122">
        <v>11127704.670495</v>
      </c>
      <c r="AL40" s="122">
        <v>10942877.649120148</v>
      </c>
      <c r="AM40" s="122">
        <v>12494722.2467265</v>
      </c>
      <c r="AN40" s="122">
        <v>8783131.5014099982</v>
      </c>
      <c r="AO40" s="122">
        <v>10744301.959499998</v>
      </c>
      <c r="AP40" s="122">
        <v>6409036.4339000005</v>
      </c>
      <c r="AQ40" s="122">
        <v>6157378.0485711992</v>
      </c>
      <c r="AR40" s="123">
        <v>18260500.990629598</v>
      </c>
      <c r="AS40" s="82">
        <f t="shared" si="5"/>
        <v>905150860.27937412</v>
      </c>
      <c r="AT40" s="332"/>
      <c r="AU40" s="124">
        <f>1991+18</f>
        <v>2009</v>
      </c>
      <c r="AV40" s="125" t="s">
        <v>187</v>
      </c>
      <c r="AW40" s="473" t="s">
        <v>139</v>
      </c>
    </row>
    <row r="41" spans="1:64" x14ac:dyDescent="0.2">
      <c r="A41" s="425" t="s">
        <v>140</v>
      </c>
      <c r="B41" s="463"/>
      <c r="C41" s="463"/>
      <c r="D41" s="463"/>
      <c r="E41" s="474"/>
      <c r="F41" s="474"/>
      <c r="G41" s="474"/>
      <c r="H41" s="474"/>
      <c r="I41" s="474"/>
      <c r="J41" s="463"/>
      <c r="K41" s="475"/>
      <c r="L41" s="474"/>
      <c r="M41" s="121"/>
      <c r="N41" s="121"/>
      <c r="O41" s="121"/>
      <c r="P41" s="121"/>
      <c r="Q41" s="121"/>
      <c r="R41" s="121"/>
      <c r="S41" s="466"/>
      <c r="T41" s="464"/>
      <c r="U41" s="467"/>
      <c r="V41" s="466"/>
      <c r="W41" s="464"/>
      <c r="X41" s="464"/>
      <c r="Y41" s="464"/>
      <c r="Z41" s="464"/>
      <c r="AA41" s="466"/>
      <c r="AB41" s="122">
        <v>776829.65367046255</v>
      </c>
      <c r="AC41" s="122">
        <v>622738.1761953719</v>
      </c>
      <c r="AD41" s="122">
        <v>557873.29463166394</v>
      </c>
      <c r="AE41" s="122">
        <v>115424.90982625794</v>
      </c>
      <c r="AF41" s="122">
        <v>29590.046157024168</v>
      </c>
      <c r="AG41" s="122">
        <v>104265.96041853167</v>
      </c>
      <c r="AH41" s="122">
        <v>156817.9118</v>
      </c>
      <c r="AI41" s="122">
        <v>41553.464179499999</v>
      </c>
      <c r="AJ41" s="122">
        <f>0.03*1000000</f>
        <v>30000</v>
      </c>
      <c r="AK41" s="122">
        <v>0</v>
      </c>
      <c r="AL41" s="122"/>
      <c r="AM41" s="122"/>
      <c r="AN41" s="122"/>
      <c r="AO41" s="122"/>
      <c r="AP41" s="122"/>
      <c r="AQ41" s="122"/>
      <c r="AR41" s="123"/>
      <c r="AS41" s="83">
        <f t="shared" si="5"/>
        <v>2435093.416878812</v>
      </c>
      <c r="AT41" s="332"/>
      <c r="AU41" s="128"/>
      <c r="AV41" s="110"/>
      <c r="AW41" s="477"/>
    </row>
    <row r="42" spans="1:64" x14ac:dyDescent="0.2">
      <c r="A42" s="425" t="s">
        <v>141</v>
      </c>
      <c r="B42" s="463"/>
      <c r="C42" s="463"/>
      <c r="D42" s="463"/>
      <c r="E42" s="474"/>
      <c r="F42" s="474"/>
      <c r="G42" s="474"/>
      <c r="H42" s="474"/>
      <c r="I42" s="474"/>
      <c r="J42" s="463"/>
      <c r="K42" s="475"/>
      <c r="L42" s="474"/>
      <c r="M42" s="121"/>
      <c r="N42" s="121"/>
      <c r="O42" s="121"/>
      <c r="P42" s="121"/>
      <c r="Q42" s="121"/>
      <c r="R42" s="121"/>
      <c r="S42" s="466"/>
      <c r="T42" s="464"/>
      <c r="U42" s="467"/>
      <c r="V42" s="466"/>
      <c r="W42" s="464"/>
      <c r="X42" s="464"/>
      <c r="Y42" s="464"/>
      <c r="Z42" s="464"/>
      <c r="AA42" s="466"/>
      <c r="AB42" s="122">
        <v>317271.6501507971</v>
      </c>
      <c r="AC42" s="122">
        <v>3418753.3729087966</v>
      </c>
      <c r="AD42" s="122">
        <v>573515.75099451665</v>
      </c>
      <c r="AE42" s="122">
        <v>210137.87479220508</v>
      </c>
      <c r="AF42" s="122">
        <v>739127.07756999787</v>
      </c>
      <c r="AG42" s="122">
        <v>313063.13464329508</v>
      </c>
      <c r="AH42" s="122">
        <v>341636.97326000012</v>
      </c>
      <c r="AI42" s="122">
        <v>4586527.7677362002</v>
      </c>
      <c r="AJ42" s="122">
        <f>0.43*1000000</f>
        <v>430000</v>
      </c>
      <c r="AK42" s="122">
        <v>0</v>
      </c>
      <c r="AL42" s="122"/>
      <c r="AM42" s="122"/>
      <c r="AN42" s="122"/>
      <c r="AO42" s="122"/>
      <c r="AP42" s="122"/>
      <c r="AQ42" s="122"/>
      <c r="AR42" s="123"/>
      <c r="AS42" s="83">
        <f t="shared" si="5"/>
        <v>10930033.602055809</v>
      </c>
      <c r="AT42" s="332"/>
      <c r="AU42" s="124">
        <f>2007+15</f>
        <v>2022</v>
      </c>
      <c r="AV42" s="125" t="s">
        <v>188</v>
      </c>
      <c r="AW42" s="473" t="s">
        <v>189</v>
      </c>
    </row>
    <row r="43" spans="1:64" ht="13.5" thickBot="1" x14ac:dyDescent="0.25">
      <c r="A43" s="431" t="s">
        <v>142</v>
      </c>
      <c r="B43" s="478"/>
      <c r="C43" s="478"/>
      <c r="D43" s="478"/>
      <c r="E43" s="474"/>
      <c r="F43" s="474"/>
      <c r="G43" s="474"/>
      <c r="H43" s="474"/>
      <c r="I43" s="474"/>
      <c r="J43" s="478"/>
      <c r="K43" s="475"/>
      <c r="L43" s="474"/>
      <c r="M43" s="121"/>
      <c r="N43" s="121"/>
      <c r="O43" s="121"/>
      <c r="P43" s="121"/>
      <c r="Q43" s="121"/>
      <c r="R43" s="121"/>
      <c r="S43" s="466"/>
      <c r="T43" s="479"/>
      <c r="U43" s="480"/>
      <c r="V43" s="481"/>
      <c r="W43" s="482"/>
      <c r="X43" s="482"/>
      <c r="Y43" s="482"/>
      <c r="Z43" s="482"/>
      <c r="AA43" s="481"/>
      <c r="AB43" s="482"/>
      <c r="AC43" s="482"/>
      <c r="AD43" s="482"/>
      <c r="AE43" s="482"/>
      <c r="AF43" s="482">
        <v>1057490.2234636871</v>
      </c>
      <c r="AG43" s="482">
        <v>2339833.1876817364</v>
      </c>
      <c r="AH43" s="482">
        <v>3861264.7009570268</v>
      </c>
      <c r="AI43" s="482">
        <v>2808712.1368845757</v>
      </c>
      <c r="AJ43" s="482">
        <f>2.91*1000000</f>
        <v>2910000</v>
      </c>
      <c r="AK43" s="482">
        <v>0</v>
      </c>
      <c r="AL43" s="482"/>
      <c r="AM43" s="482"/>
      <c r="AN43" s="482"/>
      <c r="AO43" s="482"/>
      <c r="AP43" s="482"/>
      <c r="AQ43" s="482"/>
      <c r="AR43" s="480"/>
      <c r="AS43" s="432">
        <f t="shared" si="5"/>
        <v>12977300.248987027</v>
      </c>
      <c r="AT43" s="332"/>
      <c r="AU43" s="129">
        <f>2007+14</f>
        <v>2021</v>
      </c>
      <c r="AV43" s="130" t="s">
        <v>190</v>
      </c>
      <c r="AW43" s="483" t="s">
        <v>191</v>
      </c>
      <c r="AX43" s="411"/>
    </row>
    <row r="44" spans="1:64" s="487" customFormat="1" ht="14.25" thickTop="1" thickBot="1" x14ac:dyDescent="0.25">
      <c r="A44" s="484" t="s">
        <v>192</v>
      </c>
      <c r="B44" s="484"/>
      <c r="C44" s="484"/>
      <c r="D44" s="484"/>
      <c r="E44" s="485">
        <f t="shared" ref="E44:M44" si="6">SUM(E34:E43)</f>
        <v>3669724.7706422019</v>
      </c>
      <c r="F44" s="485">
        <f t="shared" si="6"/>
        <v>20075553.157042634</v>
      </c>
      <c r="G44" s="485">
        <f t="shared" si="6"/>
        <v>7015650.2968159737</v>
      </c>
      <c r="H44" s="485">
        <f t="shared" si="6"/>
        <v>5504587.1559633026</v>
      </c>
      <c r="I44" s="485">
        <f t="shared" si="6"/>
        <v>3022126.2817053427</v>
      </c>
      <c r="J44" s="485">
        <f t="shared" si="6"/>
        <v>4317323.2595790606</v>
      </c>
      <c r="K44" s="485">
        <f t="shared" si="6"/>
        <v>13923367.512142472</v>
      </c>
      <c r="L44" s="485">
        <f t="shared" si="6"/>
        <v>24845719.373988125</v>
      </c>
      <c r="M44" s="485">
        <f t="shared" si="6"/>
        <v>35542113.329735562</v>
      </c>
      <c r="N44" s="485">
        <f>SUM(N35:N43)</f>
        <v>82558021.586616307</v>
      </c>
      <c r="O44" s="485">
        <f>SUM(O35:O43)</f>
        <v>154887452.77927685</v>
      </c>
      <c r="P44" s="485">
        <f>SUM(P35:P43)</f>
        <v>220506436</v>
      </c>
      <c r="Q44" s="131">
        <f>SUM(Q35:Q43)</f>
        <v>362713533</v>
      </c>
      <c r="R44" s="131">
        <f>SUM(R35:R43)</f>
        <v>134441237</v>
      </c>
      <c r="S44" s="131">
        <f t="shared" ref="S44:AR44" si="7">SUM(S34:S43)</f>
        <v>105037993</v>
      </c>
      <c r="T44" s="131">
        <f t="shared" si="7"/>
        <v>82788478</v>
      </c>
      <c r="U44" s="131">
        <f t="shared" si="7"/>
        <v>69272720</v>
      </c>
      <c r="V44" s="131">
        <f t="shared" si="7"/>
        <v>111274483</v>
      </c>
      <c r="W44" s="131">
        <f t="shared" si="7"/>
        <v>93965730</v>
      </c>
      <c r="X44" s="131">
        <f t="shared" si="7"/>
        <v>119427989</v>
      </c>
      <c r="Y44" s="131">
        <f t="shared" si="7"/>
        <v>74968863</v>
      </c>
      <c r="Z44" s="131">
        <f t="shared" si="7"/>
        <v>99857204.287332833</v>
      </c>
      <c r="AA44" s="131">
        <f t="shared" si="7"/>
        <v>107789718.66882202</v>
      </c>
      <c r="AB44" s="131">
        <f t="shared" si="7"/>
        <v>164393038.42115971</v>
      </c>
      <c r="AC44" s="131">
        <f t="shared" si="7"/>
        <v>60713356.089797519</v>
      </c>
      <c r="AD44" s="131">
        <f t="shared" si="7"/>
        <v>69663291.335950032</v>
      </c>
      <c r="AE44" s="131">
        <f t="shared" si="7"/>
        <v>62730273.635087945</v>
      </c>
      <c r="AF44" s="131">
        <f t="shared" si="7"/>
        <v>64874485.022693813</v>
      </c>
      <c r="AG44" s="131">
        <f t="shared" si="7"/>
        <v>69917320.392623991</v>
      </c>
      <c r="AH44" s="132">
        <f t="shared" si="7"/>
        <v>75462924.924281031</v>
      </c>
      <c r="AI44" s="132">
        <f t="shared" si="7"/>
        <v>58972045.845895611</v>
      </c>
      <c r="AJ44" s="132">
        <f t="shared" si="7"/>
        <v>130670000</v>
      </c>
      <c r="AK44" s="132">
        <f t="shared" si="7"/>
        <v>40020142.810325995</v>
      </c>
      <c r="AL44" s="132">
        <f t="shared" si="7"/>
        <v>47497376.555820152</v>
      </c>
      <c r="AM44" s="133">
        <f t="shared" si="7"/>
        <v>63050938.0122765</v>
      </c>
      <c r="AN44" s="133">
        <f t="shared" si="7"/>
        <v>32340819.43637</v>
      </c>
      <c r="AO44" s="133">
        <f t="shared" si="7"/>
        <v>30211991.399399988</v>
      </c>
      <c r="AP44" s="133">
        <f t="shared" si="7"/>
        <v>17410568.478250001</v>
      </c>
      <c r="AQ44" s="133">
        <f t="shared" si="7"/>
        <v>16721287.059611196</v>
      </c>
      <c r="AR44" s="133">
        <f t="shared" si="7"/>
        <v>49644696.386230394</v>
      </c>
      <c r="AS44" s="486">
        <f t="shared" si="5"/>
        <v>2991700580.2654366</v>
      </c>
      <c r="AX44" s="411"/>
    </row>
    <row r="45" spans="1:64" ht="14.25" thickTop="1" thickBot="1" x14ac:dyDescent="0.25">
      <c r="A45" s="488"/>
      <c r="L45" s="119"/>
      <c r="M45" s="119"/>
      <c r="N45" s="119"/>
      <c r="O45" s="119"/>
      <c r="P45" s="119"/>
      <c r="Q45" s="119"/>
      <c r="R45" s="119"/>
      <c r="AC45" s="119"/>
      <c r="AD45" s="119"/>
      <c r="AE45" s="119"/>
      <c r="AF45" s="119"/>
      <c r="AG45" s="119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34">
        <f>SUM(AS34:AS43)/1000000</f>
        <v>2991.7005802654367</v>
      </c>
      <c r="AU45" s="411"/>
      <c r="AV45" s="411"/>
      <c r="AW45" s="411"/>
      <c r="AX45" s="411"/>
    </row>
    <row r="46" spans="1:64" ht="14.25" thickTop="1" thickBot="1" x14ac:dyDescent="0.25">
      <c r="E46" s="119">
        <v>3400000</v>
      </c>
      <c r="F46" s="119">
        <v>18600000</v>
      </c>
      <c r="G46" s="119">
        <v>6500000</v>
      </c>
      <c r="H46" s="119">
        <v>5100000</v>
      </c>
      <c r="I46" s="119">
        <v>2800000</v>
      </c>
      <c r="J46" s="119">
        <v>4000000</v>
      </c>
      <c r="K46" s="119">
        <v>12900000</v>
      </c>
      <c r="L46" s="119">
        <v>23019559</v>
      </c>
      <c r="M46" s="119">
        <v>32929768</v>
      </c>
      <c r="N46" s="119">
        <v>76490007</v>
      </c>
      <c r="O46" s="119">
        <v>143503225</v>
      </c>
      <c r="P46" s="119">
        <v>206408613</v>
      </c>
      <c r="Q46" s="119"/>
      <c r="R46" s="119"/>
      <c r="AB46" s="135"/>
      <c r="AC46" s="119"/>
      <c r="AD46" s="119"/>
      <c r="AE46" s="119"/>
      <c r="AF46" s="119"/>
      <c r="AG46" s="119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41">
        <f>SUM(AS34:AS43)</f>
        <v>2991700580.2654366</v>
      </c>
      <c r="AU46" s="411"/>
      <c r="AV46" s="489" t="s">
        <v>193</v>
      </c>
      <c r="AW46" s="490"/>
      <c r="AX46" s="411"/>
      <c r="AY46" s="491" t="s">
        <v>194</v>
      </c>
      <c r="AZ46" s="398"/>
      <c r="BA46" s="354"/>
      <c r="BB46" s="398"/>
      <c r="BC46" s="398"/>
      <c r="BD46" s="492"/>
      <c r="BE46" s="492"/>
      <c r="BF46" s="492"/>
      <c r="BG46" s="492"/>
      <c r="BH46" s="492"/>
      <c r="BI46" s="492"/>
      <c r="BJ46" s="492"/>
      <c r="BK46" s="492"/>
      <c r="BL46" s="493"/>
    </row>
    <row r="47" spans="1:64" ht="13.5" thickTop="1" x14ac:dyDescent="0.2">
      <c r="A47" s="488"/>
      <c r="E47" s="402">
        <f t="shared" ref="E47:N47" si="8">+E46/E44</f>
        <v>0.92649999999999999</v>
      </c>
      <c r="F47" s="402">
        <f t="shared" si="8"/>
        <v>0.92649999999999999</v>
      </c>
      <c r="G47" s="402">
        <f t="shared" si="8"/>
        <v>0.9265000000000001</v>
      </c>
      <c r="H47" s="402">
        <f t="shared" si="8"/>
        <v>0.92649999999999999</v>
      </c>
      <c r="I47" s="402">
        <f t="shared" si="8"/>
        <v>0.92649999999999999</v>
      </c>
      <c r="J47" s="402">
        <f t="shared" si="8"/>
        <v>0.9265000000000001</v>
      </c>
      <c r="K47" s="402">
        <f t="shared" si="8"/>
        <v>0.92649999999999999</v>
      </c>
      <c r="L47" s="402">
        <f t="shared" si="8"/>
        <v>0.9265000000000001</v>
      </c>
      <c r="M47" s="402">
        <f t="shared" si="8"/>
        <v>0.92649999999999999</v>
      </c>
      <c r="N47" s="402">
        <f t="shared" si="8"/>
        <v>0.92649999999999988</v>
      </c>
      <c r="O47" s="402">
        <f>+O46/O44</f>
        <v>0.92649999999999999</v>
      </c>
      <c r="P47" s="494">
        <f>+P46/P44</f>
        <v>0.93606616089881389</v>
      </c>
      <c r="Q47" s="119"/>
      <c r="R47" s="119"/>
      <c r="AB47" s="135"/>
      <c r="AC47" s="119"/>
      <c r="AD47" s="119"/>
      <c r="AE47" s="119"/>
      <c r="AF47" s="119"/>
      <c r="AG47" s="119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411"/>
      <c r="AT47" s="411"/>
      <c r="AU47" s="411"/>
      <c r="AV47" s="495">
        <f>+AS44</f>
        <v>2991700580.2654366</v>
      </c>
      <c r="AW47" s="496" t="s">
        <v>195</v>
      </c>
      <c r="AX47" s="411"/>
      <c r="AY47" s="497" t="s">
        <v>196</v>
      </c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498"/>
    </row>
    <row r="48" spans="1:64" ht="12.75" x14ac:dyDescent="0.2">
      <c r="A48" s="488"/>
      <c r="O48" s="119"/>
      <c r="P48" s="119"/>
      <c r="Q48" s="119"/>
      <c r="R48" s="119"/>
      <c r="AB48" s="135"/>
      <c r="AC48" s="119"/>
      <c r="AD48" s="119"/>
      <c r="AE48" s="119"/>
      <c r="AF48" s="119"/>
      <c r="AG48" s="119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411"/>
      <c r="AT48" s="411"/>
      <c r="AU48" s="411"/>
      <c r="AV48" s="499" t="e">
        <f>+#REF!</f>
        <v>#REF!</v>
      </c>
      <c r="AW48" s="500" t="s">
        <v>197</v>
      </c>
      <c r="AX48" s="411"/>
      <c r="AY48" s="501"/>
      <c r="AZ48" s="136" t="s">
        <v>198</v>
      </c>
      <c r="BA48" s="385">
        <v>2006</v>
      </c>
      <c r="BB48" s="385">
        <v>2007</v>
      </c>
      <c r="BC48" s="385">
        <v>2008</v>
      </c>
      <c r="BD48" s="385">
        <v>2009</v>
      </c>
      <c r="BE48" s="385">
        <v>2010</v>
      </c>
      <c r="BF48" s="385">
        <v>2011</v>
      </c>
      <c r="BG48" s="385">
        <v>2012</v>
      </c>
      <c r="BH48" s="385">
        <v>2013</v>
      </c>
      <c r="BI48" s="385">
        <v>2014</v>
      </c>
      <c r="BJ48" s="385">
        <v>2015</v>
      </c>
      <c r="BK48" s="385">
        <v>2016</v>
      </c>
      <c r="BL48" s="502" t="s">
        <v>199</v>
      </c>
    </row>
    <row r="49" spans="1:64" ht="13.5" thickBot="1" x14ac:dyDescent="0.25">
      <c r="A49" s="488"/>
      <c r="M49" s="119"/>
      <c r="N49" s="119"/>
      <c r="O49" s="119"/>
      <c r="P49" s="119"/>
      <c r="Q49" s="119"/>
      <c r="R49" s="119"/>
      <c r="AB49" s="135"/>
      <c r="AC49" s="119"/>
      <c r="AD49" s="119"/>
      <c r="AE49" s="119"/>
      <c r="AF49" s="119"/>
      <c r="AG49" s="119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34"/>
      <c r="AT49" s="411"/>
      <c r="AU49" s="411"/>
      <c r="AV49" s="495" t="e">
        <f>+AV47-AV48</f>
        <v>#REF!</v>
      </c>
      <c r="AW49" s="503"/>
      <c r="AX49" s="411"/>
      <c r="AY49" s="497" t="s">
        <v>200</v>
      </c>
      <c r="BA49" s="359"/>
      <c r="BB49" s="359"/>
      <c r="BC49" s="359"/>
      <c r="BD49" s="359">
        <f t="shared" ref="BD49:BK49" si="9">+L40</f>
        <v>18024348.62385321</v>
      </c>
      <c r="BE49" s="359">
        <f t="shared" si="9"/>
        <v>25277677.280086346</v>
      </c>
      <c r="BF49" s="359">
        <f t="shared" si="9"/>
        <v>35149004.856988668</v>
      </c>
      <c r="BG49" s="359">
        <f t="shared" si="9"/>
        <v>43167370.750134915</v>
      </c>
      <c r="BH49" s="359">
        <f t="shared" si="9"/>
        <v>44419999</v>
      </c>
      <c r="BI49" s="359">
        <f t="shared" si="9"/>
        <v>51115425</v>
      </c>
      <c r="BJ49" s="359">
        <f t="shared" si="9"/>
        <v>28757646</v>
      </c>
      <c r="BK49" s="359">
        <f t="shared" si="9"/>
        <v>27456579</v>
      </c>
      <c r="BL49" s="504">
        <f>SUM(AZ49:BK49)</f>
        <v>273368050.51106316</v>
      </c>
    </row>
    <row r="50" spans="1:64" ht="13.5" thickTop="1" x14ac:dyDescent="0.2">
      <c r="A50" s="488"/>
      <c r="M50" s="119"/>
      <c r="N50" s="119"/>
      <c r="O50" s="119"/>
      <c r="P50" s="119"/>
      <c r="Q50" s="119"/>
      <c r="R50" s="119"/>
      <c r="AB50" s="135"/>
      <c r="AC50" s="119"/>
      <c r="AD50" s="119"/>
      <c r="AE50" s="119"/>
      <c r="AF50" s="119"/>
      <c r="AG50" s="119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34"/>
      <c r="AT50" s="411"/>
      <c r="AU50" s="411"/>
      <c r="AV50" s="505" t="e">
        <f>+AV49/1000</f>
        <v>#REF!</v>
      </c>
      <c r="AW50" s="506" t="s">
        <v>201</v>
      </c>
      <c r="AX50" s="411"/>
      <c r="AY50" s="497" t="s">
        <v>202</v>
      </c>
      <c r="BA50" s="359"/>
      <c r="BB50" s="359"/>
      <c r="BC50" s="359">
        <f>+N36</f>
        <v>32247.166756610903</v>
      </c>
      <c r="BD50" s="359">
        <f>+O36</f>
        <v>221107.39341608202</v>
      </c>
      <c r="BE50" s="359">
        <f>+P36</f>
        <v>158383</v>
      </c>
      <c r="BF50" s="359">
        <f>+Q36</f>
        <v>78270</v>
      </c>
      <c r="BG50" s="359">
        <f>+R36</f>
        <v>860</v>
      </c>
      <c r="BH50" s="359"/>
      <c r="BI50" s="359"/>
      <c r="BJ50" s="359"/>
      <c r="BK50" s="359"/>
      <c r="BL50" s="504">
        <f>SUM(AZ50:BK50)</f>
        <v>490867.56017269293</v>
      </c>
    </row>
    <row r="51" spans="1:64" ht="12.75" x14ac:dyDescent="0.2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507"/>
      <c r="AI51" s="507"/>
      <c r="AJ51" s="507"/>
      <c r="AK51" s="507"/>
      <c r="AL51" s="507"/>
      <c r="AM51" s="507"/>
      <c r="AN51" s="507"/>
      <c r="AO51" s="507"/>
      <c r="AP51" s="507"/>
      <c r="AQ51" s="507"/>
      <c r="AR51" s="507"/>
      <c r="AS51" s="429"/>
      <c r="AT51" s="411"/>
      <c r="AU51" s="411"/>
      <c r="AV51" s="411"/>
      <c r="AW51" s="411"/>
      <c r="AX51" s="411"/>
      <c r="AY51" s="411"/>
    </row>
    <row r="52" spans="1:64" ht="12.75" x14ac:dyDescent="0.2">
      <c r="A52" s="411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507"/>
      <c r="AI52" s="507"/>
      <c r="AJ52" s="507"/>
      <c r="AK52" s="507"/>
      <c r="AL52" s="507"/>
      <c r="AM52" s="507"/>
      <c r="AN52" s="507"/>
      <c r="AO52" s="507"/>
      <c r="AP52" s="507"/>
      <c r="AQ52" s="507"/>
      <c r="AR52" s="507"/>
      <c r="AS52" s="428"/>
      <c r="AT52" s="411"/>
      <c r="AU52" s="411"/>
      <c r="AV52" s="411"/>
      <c r="AW52" s="411"/>
      <c r="AX52" s="411"/>
      <c r="AY52" s="411"/>
    </row>
    <row r="53" spans="1:64" ht="12.75" x14ac:dyDescent="0.2">
      <c r="A53" s="411"/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507"/>
      <c r="AI53" s="507"/>
      <c r="AJ53" s="507"/>
      <c r="AK53" s="507"/>
      <c r="AL53" s="507"/>
      <c r="AM53" s="507"/>
      <c r="AN53" s="507"/>
      <c r="AO53" s="507"/>
      <c r="AP53" s="507"/>
      <c r="AQ53" s="507"/>
      <c r="AR53" s="507"/>
      <c r="AS53" s="429"/>
      <c r="AT53" s="411"/>
      <c r="AU53" s="411"/>
      <c r="AV53" s="411"/>
      <c r="AW53" s="411"/>
      <c r="AX53" s="411"/>
      <c r="AY53" s="411"/>
    </row>
    <row r="54" spans="1:64" ht="12.75" x14ac:dyDescent="0.2">
      <c r="A54" s="411"/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507"/>
      <c r="AI54" s="507"/>
      <c r="AJ54" s="507"/>
      <c r="AK54" s="507"/>
      <c r="AL54" s="507"/>
      <c r="AM54" s="507"/>
      <c r="AN54" s="507"/>
      <c r="AO54" s="507"/>
      <c r="AP54" s="507"/>
      <c r="AQ54" s="507"/>
      <c r="AR54" s="507"/>
      <c r="AS54" s="429"/>
      <c r="AT54" s="411"/>
      <c r="AU54" s="411"/>
      <c r="AV54" s="411"/>
      <c r="AW54" s="411"/>
      <c r="AX54" s="411"/>
      <c r="AY54" s="411"/>
    </row>
    <row r="55" spans="1:64" ht="12.75" x14ac:dyDescent="0.2">
      <c r="A55" s="411"/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507"/>
      <c r="AI55" s="507"/>
      <c r="AJ55" s="507"/>
      <c r="AK55" s="507"/>
      <c r="AL55" s="507"/>
      <c r="AM55" s="507"/>
      <c r="AN55" s="507"/>
      <c r="AO55" s="507"/>
      <c r="AP55" s="507"/>
      <c r="AQ55" s="507"/>
      <c r="AR55" s="507"/>
      <c r="AS55" s="429"/>
      <c r="AT55" s="411"/>
      <c r="AU55" s="411"/>
      <c r="AV55" s="411"/>
      <c r="AW55" s="411"/>
      <c r="AX55" s="411"/>
      <c r="AY55" s="411"/>
    </row>
    <row r="56" spans="1:64" ht="12.75" x14ac:dyDescent="0.2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507"/>
      <c r="AI56" s="507"/>
      <c r="AJ56" s="507"/>
      <c r="AK56" s="507"/>
      <c r="AL56" s="507"/>
      <c r="AM56" s="507"/>
      <c r="AN56" s="507"/>
      <c r="AO56" s="507"/>
      <c r="AP56" s="507"/>
      <c r="AQ56" s="507"/>
      <c r="AR56" s="507"/>
      <c r="AS56" s="429"/>
      <c r="AT56" s="411"/>
      <c r="AU56" s="411"/>
      <c r="AV56" s="411"/>
      <c r="AW56" s="411"/>
      <c r="AX56" s="411"/>
      <c r="AY56" s="411"/>
    </row>
    <row r="57" spans="1:64" ht="12.75" x14ac:dyDescent="0.2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507"/>
      <c r="AI57" s="507"/>
      <c r="AJ57" s="507"/>
      <c r="AK57" s="507"/>
      <c r="AL57" s="507"/>
      <c r="AM57" s="507"/>
      <c r="AN57" s="507"/>
      <c r="AO57" s="507"/>
      <c r="AP57" s="507"/>
      <c r="AQ57" s="507"/>
      <c r="AR57" s="507"/>
      <c r="AS57" s="429"/>
      <c r="AT57" s="411"/>
      <c r="AU57" s="411"/>
      <c r="AV57" s="411"/>
      <c r="AW57" s="411"/>
      <c r="AX57" s="411"/>
      <c r="AY57" s="411"/>
    </row>
    <row r="58" spans="1:64" ht="12.75" x14ac:dyDescent="0.2">
      <c r="A58" s="411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507"/>
      <c r="AI58" s="507"/>
      <c r="AJ58" s="507"/>
      <c r="AK58" s="507"/>
      <c r="AL58" s="507"/>
      <c r="AM58" s="507"/>
      <c r="AN58" s="507"/>
      <c r="AO58" s="507"/>
      <c r="AP58" s="507"/>
      <c r="AQ58" s="507"/>
      <c r="AR58" s="507"/>
      <c r="AS58" s="429"/>
      <c r="AT58" s="411"/>
      <c r="AU58" s="411"/>
      <c r="AV58" s="411"/>
      <c r="AW58" s="411"/>
      <c r="AX58" s="411"/>
      <c r="AY58" s="411"/>
    </row>
    <row r="59" spans="1:64" ht="12.75" x14ac:dyDescent="0.2">
      <c r="A59" s="411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507"/>
      <c r="AI59" s="507"/>
      <c r="AJ59" s="507"/>
      <c r="AK59" s="507"/>
      <c r="AL59" s="507"/>
      <c r="AM59" s="507"/>
      <c r="AN59" s="507"/>
      <c r="AO59" s="507"/>
      <c r="AP59" s="507"/>
      <c r="AQ59" s="507"/>
      <c r="AR59" s="507"/>
      <c r="AS59" s="429"/>
      <c r="AT59" s="411"/>
      <c r="AU59" s="411"/>
      <c r="AV59" s="411"/>
      <c r="AW59" s="411"/>
      <c r="AX59" s="411"/>
      <c r="AY59" s="411"/>
    </row>
    <row r="60" spans="1:64" ht="12.75" x14ac:dyDescent="0.2">
      <c r="A60" s="411"/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  <c r="T60" s="411"/>
      <c r="U60" s="411"/>
      <c r="V60" s="411"/>
      <c r="W60" s="411"/>
      <c r="X60" s="411"/>
      <c r="Y60" s="411"/>
      <c r="Z60" s="411"/>
      <c r="AA60" s="411"/>
      <c r="AB60" s="411"/>
      <c r="AC60" s="411"/>
      <c r="AD60" s="411"/>
      <c r="AE60" s="411"/>
      <c r="AF60" s="411"/>
      <c r="AG60" s="411"/>
      <c r="AH60" s="507"/>
      <c r="AI60" s="507"/>
      <c r="AJ60" s="507"/>
      <c r="AK60" s="507"/>
      <c r="AL60" s="507"/>
      <c r="AM60" s="507"/>
      <c r="AN60" s="507"/>
      <c r="AO60" s="507"/>
      <c r="AP60" s="507"/>
      <c r="AQ60" s="507"/>
      <c r="AR60" s="507"/>
      <c r="AS60" s="429"/>
      <c r="AT60" s="411"/>
      <c r="AU60" s="411"/>
      <c r="AV60" s="411"/>
      <c r="AW60" s="411"/>
      <c r="AX60" s="411"/>
      <c r="AY60" s="411"/>
    </row>
    <row r="61" spans="1:64" ht="12.75" x14ac:dyDescent="0.2">
      <c r="A61" s="411"/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  <c r="AH61" s="507"/>
      <c r="AI61" s="507"/>
      <c r="AJ61" s="507"/>
      <c r="AK61" s="507"/>
      <c r="AL61" s="507"/>
      <c r="AM61" s="507"/>
      <c r="AN61" s="507"/>
      <c r="AO61" s="507"/>
      <c r="AP61" s="507"/>
      <c r="AQ61" s="507"/>
      <c r="AR61" s="507"/>
      <c r="AS61" s="429"/>
      <c r="AT61" s="411"/>
      <c r="AU61" s="411"/>
      <c r="AV61" s="411"/>
      <c r="AW61" s="411"/>
      <c r="AX61" s="411"/>
      <c r="AY61" s="411"/>
    </row>
    <row r="62" spans="1:64" ht="12.75" x14ac:dyDescent="0.2">
      <c r="A62" s="411"/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507"/>
      <c r="AI62" s="507"/>
      <c r="AJ62" s="507"/>
      <c r="AK62" s="507"/>
      <c r="AL62" s="507"/>
      <c r="AM62" s="507"/>
      <c r="AN62" s="507"/>
      <c r="AO62" s="507"/>
      <c r="AP62" s="507"/>
      <c r="AQ62" s="507"/>
      <c r="AR62" s="507"/>
      <c r="AS62" s="429"/>
      <c r="AT62" s="411"/>
      <c r="AU62" s="411"/>
      <c r="AV62" s="411"/>
      <c r="AW62" s="411"/>
      <c r="AX62" s="411"/>
      <c r="AY62" s="411"/>
    </row>
  </sheetData>
  <printOptions horizontalCentered="1"/>
  <pageMargins left="0" right="0" top="0" bottom="0" header="0" footer="0"/>
  <pageSetup paperSize="17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32EB-89FE-4FC0-AF1C-D719C89BB722}">
  <dimension ref="A1:T21"/>
  <sheetViews>
    <sheetView workbookViewId="0">
      <selection activeCell="B1" sqref="B1:C2"/>
    </sheetView>
  </sheetViews>
  <sheetFormatPr defaultRowHeight="15" x14ac:dyDescent="0.25"/>
  <cols>
    <col min="1" max="10" width="9.140625" style="508"/>
    <col min="11" max="11" width="10.7109375" style="508" bestFit="1" customWidth="1"/>
    <col min="12" max="12" width="11" style="508" bestFit="1" customWidth="1"/>
    <col min="13" max="18" width="9.140625" style="508"/>
    <col min="19" max="19" width="10.7109375" style="508" bestFit="1" customWidth="1"/>
    <col min="20" max="20" width="10.42578125" style="508" bestFit="1" customWidth="1"/>
    <col min="21" max="16384" width="9.140625" style="508"/>
  </cols>
  <sheetData>
    <row r="1" spans="1:20" x14ac:dyDescent="0.25">
      <c r="B1" s="1088" t="s">
        <v>520</v>
      </c>
      <c r="C1" s="1088"/>
    </row>
    <row r="2" spans="1:20" x14ac:dyDescent="0.25">
      <c r="B2" s="1088" t="s">
        <v>517</v>
      </c>
      <c r="C2" s="1088"/>
    </row>
    <row r="3" spans="1:20" x14ac:dyDescent="0.25">
      <c r="A3" s="508" t="s">
        <v>203</v>
      </c>
    </row>
    <row r="6" spans="1:20" ht="15.75" thickBot="1" x14ac:dyDescent="0.3">
      <c r="A6" s="509" t="s">
        <v>204</v>
      </c>
    </row>
    <row r="7" spans="1:20" ht="57.75" thickBot="1" x14ac:dyDescent="0.3">
      <c r="B7" s="510" t="s">
        <v>205</v>
      </c>
      <c r="C7" s="510" t="s">
        <v>206</v>
      </c>
      <c r="D7" s="510" t="s">
        <v>207</v>
      </c>
      <c r="E7" s="511"/>
      <c r="F7" s="512" t="s">
        <v>208</v>
      </c>
      <c r="G7" s="513" t="s">
        <v>209</v>
      </c>
      <c r="H7" s="514" t="s">
        <v>210</v>
      </c>
      <c r="I7" s="513" t="s">
        <v>211</v>
      </c>
      <c r="J7" s="514" t="s">
        <v>212</v>
      </c>
      <c r="K7" s="515" t="s">
        <v>213</v>
      </c>
      <c r="L7" s="513" t="s">
        <v>214</v>
      </c>
      <c r="M7" s="516"/>
      <c r="N7" s="517" t="s">
        <v>215</v>
      </c>
      <c r="O7" s="517" t="s">
        <v>215</v>
      </c>
      <c r="P7" s="518" t="s">
        <v>216</v>
      </c>
      <c r="Q7" s="518" t="s">
        <v>217</v>
      </c>
      <c r="R7" s="518" t="s">
        <v>218</v>
      </c>
      <c r="S7" s="514" t="s">
        <v>219</v>
      </c>
      <c r="T7" s="513" t="s">
        <v>220</v>
      </c>
    </row>
    <row r="8" spans="1:20" x14ac:dyDescent="0.25">
      <c r="A8" s="519">
        <v>2023</v>
      </c>
      <c r="B8" s="280">
        <v>652942</v>
      </c>
      <c r="C8" s="280">
        <v>3406</v>
      </c>
      <c r="D8" s="280">
        <v>1703</v>
      </c>
      <c r="E8" s="520">
        <v>651239</v>
      </c>
      <c r="F8" s="521">
        <v>1.1952056997405589</v>
      </c>
      <c r="G8" s="522">
        <v>780400</v>
      </c>
      <c r="H8" s="523">
        <v>1.0689458243046788</v>
      </c>
      <c r="I8" s="524">
        <v>697959.62441314559</v>
      </c>
      <c r="J8" s="525">
        <v>1.272749580028198</v>
      </c>
      <c r="K8" s="526">
        <v>2167.4925347880212</v>
      </c>
      <c r="L8" s="527">
        <v>26875161.855322454</v>
      </c>
      <c r="M8" s="528"/>
      <c r="N8" s="529"/>
      <c r="O8" s="530">
        <v>1.2728940702236953</v>
      </c>
      <c r="P8" s="531">
        <v>831126</v>
      </c>
      <c r="Q8" s="532">
        <v>1.1384273028844829</v>
      </c>
      <c r="R8" s="533">
        <v>743327</v>
      </c>
      <c r="S8" s="534">
        <v>1.3374052586936305</v>
      </c>
      <c r="T8" s="535">
        <v>28240420.077572834</v>
      </c>
    </row>
    <row r="10" spans="1:20" ht="15.75" thickBot="1" x14ac:dyDescent="0.3"/>
    <row r="11" spans="1:20" ht="17.25" thickTop="1" thickBot="1" x14ac:dyDescent="0.3">
      <c r="A11" s="536" t="s">
        <v>221</v>
      </c>
      <c r="B11" s="537" t="s">
        <v>222</v>
      </c>
      <c r="C11" s="537" t="s">
        <v>223</v>
      </c>
      <c r="D11" s="538" t="s">
        <v>224</v>
      </c>
      <c r="E11" s="539"/>
      <c r="F11" s="540" t="s">
        <v>222</v>
      </c>
      <c r="G11" s="537" t="s">
        <v>223</v>
      </c>
      <c r="H11" s="538" t="s">
        <v>224</v>
      </c>
      <c r="I11" s="541" t="s">
        <v>225</v>
      </c>
      <c r="J11" s="537" t="s">
        <v>223</v>
      </c>
      <c r="K11" s="538"/>
      <c r="L11" s="542"/>
      <c r="M11" s="536" t="s">
        <v>221</v>
      </c>
      <c r="N11" s="543" t="s">
        <v>222</v>
      </c>
      <c r="O11" s="544" t="s">
        <v>223</v>
      </c>
      <c r="P11" s="544" t="s">
        <v>222</v>
      </c>
      <c r="Q11" s="544" t="s">
        <v>223</v>
      </c>
      <c r="R11" s="544" t="s">
        <v>223</v>
      </c>
      <c r="S11" s="545" t="s">
        <v>226</v>
      </c>
    </row>
    <row r="12" spans="1:20" ht="46.5" thickBot="1" x14ac:dyDescent="0.3">
      <c r="A12" s="517"/>
      <c r="B12" s="546" t="s">
        <v>227</v>
      </c>
      <c r="C12" s="546" t="s">
        <v>228</v>
      </c>
      <c r="D12" s="547" t="s">
        <v>228</v>
      </c>
      <c r="E12" s="548" t="s">
        <v>229</v>
      </c>
      <c r="F12" s="549" t="s">
        <v>230</v>
      </c>
      <c r="G12" s="546" t="s">
        <v>211</v>
      </c>
      <c r="H12" s="547" t="s">
        <v>230</v>
      </c>
      <c r="I12" s="550" t="s">
        <v>212</v>
      </c>
      <c r="J12" s="546" t="s">
        <v>231</v>
      </c>
      <c r="K12" s="547" t="s">
        <v>214</v>
      </c>
      <c r="L12" s="551"/>
      <c r="M12" s="517"/>
      <c r="N12" s="552" t="s">
        <v>232</v>
      </c>
      <c r="O12" s="553" t="s">
        <v>216</v>
      </c>
      <c r="P12" s="553" t="s">
        <v>233</v>
      </c>
      <c r="Q12" s="553" t="s">
        <v>233</v>
      </c>
      <c r="R12" s="553" t="s">
        <v>234</v>
      </c>
      <c r="S12" s="554" t="s">
        <v>220</v>
      </c>
    </row>
    <row r="13" spans="1:20" x14ac:dyDescent="0.25">
      <c r="A13" s="555">
        <v>2023</v>
      </c>
      <c r="B13" s="556">
        <v>388895.70008544321</v>
      </c>
      <c r="C13" s="50">
        <v>26476.056338028175</v>
      </c>
      <c r="D13" s="557">
        <v>13238.028169014087</v>
      </c>
      <c r="E13" s="558">
        <v>0.6431</v>
      </c>
      <c r="F13" s="430">
        <v>250098.82472494853</v>
      </c>
      <c r="G13" s="50">
        <v>17026.751830985919</v>
      </c>
      <c r="H13" s="557">
        <v>8513.3759154929594</v>
      </c>
      <c r="I13" s="559">
        <v>10.94</v>
      </c>
      <c r="J13" s="560">
        <v>289648.05633802817</v>
      </c>
      <c r="K13" s="561">
        <v>45720562.849386089</v>
      </c>
      <c r="L13" s="562"/>
      <c r="M13" s="555">
        <v>2023</v>
      </c>
      <c r="N13" s="563">
        <v>414173.92059099698</v>
      </c>
      <c r="O13" s="50">
        <v>28197.000000000004</v>
      </c>
      <c r="P13" s="50">
        <v>266355.24833207019</v>
      </c>
      <c r="Q13" s="50">
        <v>18133.490700000002</v>
      </c>
      <c r="R13" s="560">
        <v>304362.1776</v>
      </c>
      <c r="S13" s="561">
        <v>48043167.442134902</v>
      </c>
    </row>
    <row r="14" spans="1:20" ht="15.75" thickBot="1" x14ac:dyDescent="0.3"/>
    <row r="15" spans="1:20" ht="17.25" thickTop="1" thickBot="1" x14ac:dyDescent="0.3">
      <c r="A15" s="536" t="s">
        <v>235</v>
      </c>
      <c r="B15" s="537" t="s">
        <v>222</v>
      </c>
      <c r="C15" s="537" t="s">
        <v>223</v>
      </c>
      <c r="D15" s="538" t="s">
        <v>224</v>
      </c>
      <c r="E15" s="564"/>
      <c r="F15" s="540" t="s">
        <v>226</v>
      </c>
      <c r="G15" s="537" t="s">
        <v>236</v>
      </c>
      <c r="H15" s="538" t="s">
        <v>224</v>
      </c>
      <c r="I15" s="541" t="s">
        <v>225</v>
      </c>
      <c r="J15" s="537" t="s">
        <v>224</v>
      </c>
      <c r="K15" s="538"/>
      <c r="L15" s="565"/>
      <c r="M15" s="536" t="s">
        <v>235</v>
      </c>
      <c r="N15" s="543" t="s">
        <v>222</v>
      </c>
      <c r="O15" s="544" t="s">
        <v>223</v>
      </c>
      <c r="P15" s="544" t="s">
        <v>222</v>
      </c>
      <c r="Q15" s="544" t="s">
        <v>223</v>
      </c>
      <c r="R15" s="544" t="s">
        <v>224</v>
      </c>
      <c r="S15" s="545" t="s">
        <v>226</v>
      </c>
    </row>
    <row r="16" spans="1:20" ht="46.5" thickBot="1" x14ac:dyDescent="0.3">
      <c r="A16" s="566"/>
      <c r="B16" s="546" t="s">
        <v>227</v>
      </c>
      <c r="C16" s="546" t="s">
        <v>228</v>
      </c>
      <c r="D16" s="547" t="s">
        <v>228</v>
      </c>
      <c r="E16" s="567" t="s">
        <v>229</v>
      </c>
      <c r="F16" s="549" t="s">
        <v>230</v>
      </c>
      <c r="G16" s="546" t="s">
        <v>211</v>
      </c>
      <c r="H16" s="547" t="s">
        <v>230</v>
      </c>
      <c r="I16" s="550" t="s">
        <v>212</v>
      </c>
      <c r="J16" s="546" t="s">
        <v>231</v>
      </c>
      <c r="K16" s="547" t="s">
        <v>214</v>
      </c>
      <c r="L16" s="565"/>
      <c r="M16" s="568"/>
      <c r="N16" s="552" t="s">
        <v>232</v>
      </c>
      <c r="O16" s="553" t="s">
        <v>216</v>
      </c>
      <c r="P16" s="553" t="s">
        <v>233</v>
      </c>
      <c r="Q16" s="553" t="s">
        <v>233</v>
      </c>
      <c r="R16" s="553" t="s">
        <v>234</v>
      </c>
      <c r="S16" s="554" t="s">
        <v>220</v>
      </c>
    </row>
    <row r="17" spans="1:19" x14ac:dyDescent="0.25">
      <c r="A17" s="569">
        <v>2023</v>
      </c>
      <c r="B17" s="570">
        <v>415401.24450266681</v>
      </c>
      <c r="C17" s="50">
        <v>-9364.7554973331862</v>
      </c>
      <c r="D17" s="557">
        <v>-4682.3777486665931</v>
      </c>
      <c r="E17" s="571">
        <v>0.84960000000000002</v>
      </c>
      <c r="F17" s="430">
        <v>352924.89732946572</v>
      </c>
      <c r="G17" s="50">
        <v>-7956.2962705342752</v>
      </c>
      <c r="H17" s="557">
        <v>-3978.1481352671376</v>
      </c>
      <c r="I17" s="572">
        <v>7.6</v>
      </c>
      <c r="J17" s="560">
        <v>-35586.070889866103</v>
      </c>
      <c r="K17" s="561">
        <v>105325446.67682064</v>
      </c>
      <c r="L17" s="573"/>
      <c r="M17" s="574">
        <v>2023</v>
      </c>
      <c r="N17" s="563">
        <v>442402.32539534016</v>
      </c>
      <c r="O17" s="560">
        <v>-11545.09880465985</v>
      </c>
      <c r="P17" s="575">
        <v>375865.01565588097</v>
      </c>
      <c r="Q17" s="576">
        <v>-8473.4555281190023</v>
      </c>
      <c r="R17" s="577"/>
      <c r="S17" s="561">
        <v>110675979.36800312</v>
      </c>
    </row>
    <row r="18" spans="1:19" ht="15.75" thickBot="1" x14ac:dyDescent="0.3"/>
    <row r="19" spans="1:19" ht="17.25" thickTop="1" thickBot="1" x14ac:dyDescent="0.3">
      <c r="A19" s="536" t="s">
        <v>237</v>
      </c>
      <c r="B19" s="539" t="s">
        <v>222</v>
      </c>
      <c r="C19" s="578" t="s">
        <v>223</v>
      </c>
      <c r="D19" s="579" t="s">
        <v>224</v>
      </c>
      <c r="E19" s="539" t="s">
        <v>238</v>
      </c>
      <c r="F19" s="578" t="s">
        <v>224</v>
      </c>
      <c r="G19" s="579" t="s">
        <v>239</v>
      </c>
      <c r="H19" s="573"/>
      <c r="I19" s="536" t="s">
        <v>237</v>
      </c>
      <c r="J19" s="539" t="s">
        <v>222</v>
      </c>
      <c r="K19" s="578" t="s">
        <v>223</v>
      </c>
      <c r="L19" s="578" t="s">
        <v>224</v>
      </c>
      <c r="M19" s="579" t="s">
        <v>239</v>
      </c>
    </row>
    <row r="20" spans="1:19" ht="34.5" x14ac:dyDescent="0.25">
      <c r="A20" s="580"/>
      <c r="B20" s="581" t="s">
        <v>209</v>
      </c>
      <c r="C20" s="582" t="s">
        <v>209</v>
      </c>
      <c r="D20" s="583" t="s">
        <v>209</v>
      </c>
      <c r="E20" s="581" t="s">
        <v>212</v>
      </c>
      <c r="F20" s="582" t="s">
        <v>231</v>
      </c>
      <c r="G20" s="583" t="s">
        <v>214</v>
      </c>
      <c r="H20" s="573"/>
      <c r="I20" s="580"/>
      <c r="J20" s="581" t="s">
        <v>216</v>
      </c>
      <c r="K20" s="582" t="s">
        <v>216</v>
      </c>
      <c r="L20" s="582" t="s">
        <v>234</v>
      </c>
      <c r="M20" s="583" t="s">
        <v>220</v>
      </c>
    </row>
    <row r="21" spans="1:19" x14ac:dyDescent="0.25">
      <c r="A21" s="555">
        <v>2023</v>
      </c>
      <c r="B21" s="570">
        <v>62535.211267605635</v>
      </c>
      <c r="C21" s="206">
        <v>763.78922653516724</v>
      </c>
      <c r="D21" s="557">
        <v>381.89461326758362</v>
      </c>
      <c r="E21" s="559">
        <v>1.0125</v>
      </c>
      <c r="F21" s="560">
        <v>386.6682959334284</v>
      </c>
      <c r="G21" s="561">
        <v>1633717.3276630931</v>
      </c>
      <c r="H21" s="584"/>
      <c r="I21" s="555">
        <v>2023</v>
      </c>
      <c r="J21" s="585">
        <v>66600</v>
      </c>
      <c r="K21" s="560">
        <v>813.43552625995312</v>
      </c>
      <c r="L21" s="586"/>
      <c r="M21" s="561">
        <v>1716710.1679083782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D140-2EEF-4332-B120-AB84A42CC269}">
  <sheetPr>
    <pageSetUpPr fitToPage="1"/>
  </sheetPr>
  <dimension ref="A1:BL213"/>
  <sheetViews>
    <sheetView zoomScale="85" zoomScaleNormal="85" workbookViewId="0">
      <pane xSplit="2" ySplit="3" topLeftCell="AD4" activePane="bottomRight" state="frozen"/>
      <selection activeCell="B1" sqref="B1:C2"/>
      <selection pane="topRight" activeCell="B1" sqref="B1:C2"/>
      <selection pane="bottomLeft" activeCell="B1" sqref="B1:C2"/>
      <selection pane="bottomRight" activeCell="B1" sqref="B1:C2"/>
    </sheetView>
  </sheetViews>
  <sheetFormatPr defaultColWidth="9.140625" defaultRowHeight="11.25" x14ac:dyDescent="0.2"/>
  <cols>
    <col min="1" max="1" width="5.7109375" style="307" customWidth="1"/>
    <col min="2" max="2" width="21.7109375" style="307" customWidth="1"/>
    <col min="3" max="3" width="12.42578125" style="307" customWidth="1"/>
    <col min="4" max="4" width="10.28515625" style="307" bestFit="1" customWidth="1"/>
    <col min="5" max="5" width="11.140625" style="307" bestFit="1" customWidth="1"/>
    <col min="6" max="6" width="15.140625" style="307" customWidth="1"/>
    <col min="7" max="7" width="11.140625" style="307" bestFit="1" customWidth="1"/>
    <col min="8" max="18" width="12" style="307" bestFit="1" customWidth="1"/>
    <col min="19" max="28" width="13.42578125" style="307" bestFit="1" customWidth="1"/>
    <col min="29" max="29" width="13.42578125" style="310" bestFit="1" customWidth="1"/>
    <col min="30" max="30" width="16.7109375" style="310" bestFit="1" customWidth="1"/>
    <col min="31" max="31" width="16.140625" style="310" bestFit="1" customWidth="1"/>
    <col min="32" max="33" width="13.42578125" style="310" bestFit="1" customWidth="1"/>
    <col min="34" max="34" width="12.7109375" style="310" bestFit="1" customWidth="1"/>
    <col min="35" max="36" width="12.7109375" style="400" bestFit="1" customWidth="1"/>
    <col min="37" max="38" width="12.5703125" style="400" bestFit="1" customWidth="1"/>
    <col min="39" max="39" width="15.5703125" style="400" bestFit="1" customWidth="1"/>
    <col min="40" max="44" width="12.5703125" style="400" customWidth="1"/>
    <col min="45" max="45" width="14.5703125" style="400" bestFit="1" customWidth="1"/>
    <col min="46" max="46" width="16.7109375" style="38" bestFit="1" customWidth="1"/>
    <col min="47" max="47" width="15.28515625" style="307" customWidth="1"/>
    <col min="48" max="48" width="16.5703125" style="307" customWidth="1"/>
    <col min="49" max="49" width="25.5703125" style="307" customWidth="1"/>
    <col min="50" max="50" width="1.7109375" style="307" customWidth="1"/>
    <col min="51" max="51" width="17.7109375" style="307" customWidth="1"/>
    <col min="52" max="53" width="10.7109375" style="307" bestFit="1" customWidth="1"/>
    <col min="54" max="56" width="9.85546875" style="307" bestFit="1" customWidth="1"/>
    <col min="57" max="61" width="10.7109375" style="307" bestFit="1" customWidth="1"/>
    <col min="62" max="63" width="10.7109375" style="307" customWidth="1"/>
    <col min="64" max="64" width="12" style="307" bestFit="1" customWidth="1"/>
    <col min="65" max="16384" width="9.140625" style="307"/>
  </cols>
  <sheetData>
    <row r="1" spans="1:51" x14ac:dyDescent="0.2">
      <c r="B1" s="1088" t="s">
        <v>521</v>
      </c>
      <c r="C1" s="1088"/>
    </row>
    <row r="2" spans="1:51" ht="12" thickBot="1" x14ac:dyDescent="0.25">
      <c r="B2" s="1088" t="s">
        <v>517</v>
      </c>
      <c r="C2" s="1088"/>
    </row>
    <row r="3" spans="1:51" ht="15.75" thickBot="1" x14ac:dyDescent="0.3">
      <c r="B3" s="1084" t="s">
        <v>33</v>
      </c>
      <c r="C3" s="1085"/>
      <c r="D3" s="1086"/>
      <c r="F3" s="308" t="s">
        <v>240</v>
      </c>
      <c r="AC3" s="309"/>
      <c r="AF3" s="311">
        <v>0.91420000000000001</v>
      </c>
      <c r="AG3" s="312">
        <v>0.90900000000000003</v>
      </c>
      <c r="AH3" s="311">
        <v>1.0881000000000001</v>
      </c>
      <c r="AI3" s="313">
        <v>1.07935</v>
      </c>
      <c r="AJ3" s="313">
        <v>1.07782</v>
      </c>
      <c r="AK3" s="313">
        <v>1.07613</v>
      </c>
      <c r="AL3" s="313">
        <v>1.0699700000000001</v>
      </c>
      <c r="AM3" s="313">
        <v>1.06063</v>
      </c>
      <c r="AN3" s="313">
        <v>1.0613999999999999</v>
      </c>
      <c r="AO3" s="587">
        <v>1.0653999999999999</v>
      </c>
      <c r="AP3" s="587">
        <v>1.0603</v>
      </c>
      <c r="AQ3" s="587">
        <v>1.0642</v>
      </c>
      <c r="AR3" s="587">
        <v>1.0687</v>
      </c>
      <c r="AS3" s="587">
        <v>1.0649999999999999</v>
      </c>
    </row>
    <row r="4" spans="1:51" ht="12" thickBot="1" x14ac:dyDescent="0.25">
      <c r="A4" s="588"/>
      <c r="M4" s="339"/>
      <c r="N4" s="39"/>
      <c r="O4" s="339"/>
      <c r="P4" s="339"/>
      <c r="Q4" s="40"/>
      <c r="R4" s="339"/>
      <c r="S4" s="41"/>
      <c r="T4" s="41"/>
      <c r="U4" s="339"/>
      <c r="AC4" s="385"/>
      <c r="AD4" s="385"/>
      <c r="AE4" s="309"/>
      <c r="AF4" s="311">
        <v>0.93210000000000004</v>
      </c>
      <c r="AG4" s="311">
        <v>0.93079999999999996</v>
      </c>
      <c r="AH4" s="311">
        <v>1.06732</v>
      </c>
      <c r="AI4" s="386">
        <v>1.0623800000000001</v>
      </c>
      <c r="AJ4" s="386">
        <v>1.06107</v>
      </c>
      <c r="AK4" s="386">
        <v>1.06006</v>
      </c>
      <c r="AL4" s="386">
        <v>1.0535699999999999</v>
      </c>
      <c r="AM4" s="386">
        <v>1.0483499999999999</v>
      </c>
      <c r="AN4" s="386">
        <v>1.0483</v>
      </c>
      <c r="AO4" s="589">
        <v>1.0510999999999999</v>
      </c>
      <c r="AP4" s="589">
        <v>1.0469999999999999</v>
      </c>
      <c r="AQ4" s="589">
        <v>1.0495000000000001</v>
      </c>
      <c r="AR4" s="589">
        <v>1.0531999999999999</v>
      </c>
      <c r="AS4" s="589">
        <v>1.0508</v>
      </c>
      <c r="AT4" s="42"/>
    </row>
    <row r="5" spans="1:51" s="310" customFormat="1" ht="34.5" thickBot="1" x14ac:dyDescent="0.25">
      <c r="A5" s="590" t="s">
        <v>180</v>
      </c>
      <c r="B5" s="314" t="s">
        <v>93</v>
      </c>
      <c r="C5" s="315">
        <v>1981</v>
      </c>
      <c r="D5" s="315">
        <v>1982</v>
      </c>
      <c r="E5" s="316">
        <v>1983</v>
      </c>
      <c r="F5" s="316">
        <v>1984</v>
      </c>
      <c r="G5" s="316">
        <v>1985</v>
      </c>
      <c r="H5" s="316">
        <v>1986</v>
      </c>
      <c r="I5" s="316">
        <v>1987</v>
      </c>
      <c r="J5" s="316">
        <v>1988</v>
      </c>
      <c r="K5" s="316">
        <v>1989</v>
      </c>
      <c r="L5" s="317" t="s">
        <v>35</v>
      </c>
      <c r="M5" s="316" t="s">
        <v>36</v>
      </c>
      <c r="N5" s="316">
        <v>1992</v>
      </c>
      <c r="O5" s="316">
        <v>1993</v>
      </c>
      <c r="P5" s="316">
        <v>1994</v>
      </c>
      <c r="Q5" s="316">
        <v>1995</v>
      </c>
      <c r="R5" s="316">
        <v>1996</v>
      </c>
      <c r="S5" s="316">
        <v>1997</v>
      </c>
      <c r="T5" s="316">
        <v>1998</v>
      </c>
      <c r="U5" s="316">
        <v>1999</v>
      </c>
      <c r="V5" s="315">
        <v>2000</v>
      </c>
      <c r="W5" s="315">
        <v>2001</v>
      </c>
      <c r="X5" s="318">
        <v>2002</v>
      </c>
      <c r="Y5" s="316">
        <v>2003</v>
      </c>
      <c r="Z5" s="318">
        <v>2004</v>
      </c>
      <c r="AA5" s="316">
        <v>2005</v>
      </c>
      <c r="AB5" s="316">
        <v>2006</v>
      </c>
      <c r="AC5" s="387">
        <v>2007</v>
      </c>
      <c r="AD5" s="311" t="s">
        <v>94</v>
      </c>
      <c r="AE5" s="311" t="s">
        <v>95</v>
      </c>
      <c r="AF5" s="311" t="s">
        <v>96</v>
      </c>
      <c r="AG5" s="311" t="s">
        <v>97</v>
      </c>
      <c r="AH5" s="311" t="s">
        <v>98</v>
      </c>
      <c r="AI5" s="388" t="s">
        <v>99</v>
      </c>
      <c r="AJ5" s="388" t="s">
        <v>100</v>
      </c>
      <c r="AK5" s="388" t="s">
        <v>101</v>
      </c>
      <c r="AL5" s="388" t="s">
        <v>102</v>
      </c>
      <c r="AM5" s="388" t="s">
        <v>103</v>
      </c>
      <c r="AN5" s="388" t="s">
        <v>104</v>
      </c>
      <c r="AO5" s="388" t="s">
        <v>105</v>
      </c>
      <c r="AP5" s="388" t="s">
        <v>106</v>
      </c>
      <c r="AQ5" s="388" t="s">
        <v>107</v>
      </c>
      <c r="AR5" s="388" t="s">
        <v>108</v>
      </c>
      <c r="AS5" s="388" t="s">
        <v>109</v>
      </c>
      <c r="AT5" s="322" t="s">
        <v>110</v>
      </c>
      <c r="AV5" s="591" t="s">
        <v>241</v>
      </c>
      <c r="AW5" s="592" t="s">
        <v>242</v>
      </c>
      <c r="AX5" s="411"/>
      <c r="AY5" s="411"/>
    </row>
    <row r="6" spans="1:51" ht="13.5" thickBot="1" x14ac:dyDescent="0.25">
      <c r="A6" s="385">
        <v>2028</v>
      </c>
      <c r="B6" s="389" t="s">
        <v>54</v>
      </c>
      <c r="C6" s="390"/>
      <c r="D6" s="390"/>
      <c r="E6" s="229"/>
      <c r="F6" s="229"/>
      <c r="G6" s="229"/>
      <c r="H6" s="229"/>
      <c r="I6" s="229"/>
      <c r="J6" s="229"/>
      <c r="K6" s="229"/>
      <c r="L6" s="391"/>
      <c r="M6" s="229"/>
      <c r="N6" s="43"/>
      <c r="O6" s="43"/>
      <c r="P6" s="43"/>
      <c r="Q6" s="43"/>
      <c r="R6" s="43"/>
      <c r="S6" s="43"/>
      <c r="T6" s="43">
        <v>497469</v>
      </c>
      <c r="U6" s="43">
        <v>478208</v>
      </c>
      <c r="V6" s="43">
        <v>976093</v>
      </c>
      <c r="W6" s="44">
        <v>1683799</v>
      </c>
      <c r="X6" s="45">
        <v>1757438</v>
      </c>
      <c r="Y6" s="43">
        <v>2357052</v>
      </c>
      <c r="Z6" s="45">
        <v>3938837.1378000844</v>
      </c>
      <c r="AA6" s="43">
        <v>4748337.363547476</v>
      </c>
      <c r="AB6" s="43">
        <v>8486123.8757641464</v>
      </c>
      <c r="AC6" s="45">
        <v>8475358.6910749339</v>
      </c>
      <c r="AD6" s="46">
        <v>4772637.0974488072</v>
      </c>
      <c r="AE6" s="46">
        <v>3049940.5374449533</v>
      </c>
      <c r="AF6" s="46">
        <v>3868443.6848816029</v>
      </c>
      <c r="AG6" s="46">
        <v>3896981.5265104584</v>
      </c>
      <c r="AH6" s="46">
        <v>4215397.7998619759</v>
      </c>
      <c r="AI6" s="47">
        <v>3139479.5084399995</v>
      </c>
      <c r="AJ6" s="47">
        <v>4486640.8782254281</v>
      </c>
      <c r="AK6" s="47">
        <f>4.27*1000000</f>
        <v>4270000</v>
      </c>
      <c r="AL6" s="47">
        <v>2760185.8823699998</v>
      </c>
      <c r="AM6" s="47">
        <v>2966830.4999999995</v>
      </c>
      <c r="AN6" s="48">
        <v>3834087.0139000001</v>
      </c>
      <c r="AO6" s="48">
        <v>3911774.8110999996</v>
      </c>
      <c r="AP6" s="48">
        <v>3881469.81</v>
      </c>
      <c r="AQ6" s="48">
        <v>4124455.2380000004</v>
      </c>
      <c r="AR6" s="48">
        <v>5100822.4311999986</v>
      </c>
      <c r="AS6" s="48">
        <v>3954970.5667999992</v>
      </c>
      <c r="AT6" s="360">
        <f t="shared" ref="AT6:AT17" si="0">SUM(C6:AS6)</f>
        <v>95632833.354369894</v>
      </c>
      <c r="AU6" s="332"/>
      <c r="AV6" s="593" t="s">
        <v>243</v>
      </c>
      <c r="AW6" s="594">
        <f>1998+30</f>
        <v>2028</v>
      </c>
      <c r="AX6" s="411"/>
      <c r="AY6" s="411"/>
    </row>
    <row r="7" spans="1:51" s="310" customFormat="1" ht="12.75" x14ac:dyDescent="0.2">
      <c r="A7" s="588"/>
      <c r="B7" s="327" t="s">
        <v>55</v>
      </c>
      <c r="C7" s="328">
        <v>267095.17122177815</v>
      </c>
      <c r="D7" s="328">
        <v>10826671.707896728</v>
      </c>
      <c r="E7" s="328">
        <v>14752349.573295884</v>
      </c>
      <c r="F7" s="328">
        <v>34182594.793129526</v>
      </c>
      <c r="G7" s="328">
        <v>45499984.87630982</v>
      </c>
      <c r="H7" s="328">
        <v>43855994.382629365</v>
      </c>
      <c r="I7" s="328">
        <v>41188387.16646862</v>
      </c>
      <c r="J7" s="328">
        <v>31771999.567894567</v>
      </c>
      <c r="K7" s="328">
        <v>24684229.231932592</v>
      </c>
      <c r="L7" s="328">
        <v>27500283.02905909</v>
      </c>
      <c r="M7" s="328">
        <f>SUM(M8:M10)</f>
        <v>15267961.542616399</v>
      </c>
      <c r="N7" s="328">
        <f t="shared" ref="N7:AD7" si="1">SUM(N8:N10)</f>
        <v>20900790.752943721</v>
      </c>
      <c r="O7" s="328">
        <f t="shared" si="1"/>
        <v>12387009.830398617</v>
      </c>
      <c r="P7" s="328">
        <f t="shared" si="1"/>
        <v>11844323.214864427</v>
      </c>
      <c r="Q7" s="328">
        <f t="shared" si="1"/>
        <v>10050842</v>
      </c>
      <c r="R7" s="328">
        <f t="shared" si="1"/>
        <v>30666699</v>
      </c>
      <c r="S7" s="328">
        <f t="shared" si="1"/>
        <v>41723117</v>
      </c>
      <c r="T7" s="66">
        <f t="shared" si="1"/>
        <v>17331274</v>
      </c>
      <c r="U7" s="66">
        <f t="shared" si="1"/>
        <v>9216874</v>
      </c>
      <c r="V7" s="66">
        <f t="shared" si="1"/>
        <v>7866056</v>
      </c>
      <c r="W7" s="66">
        <f t="shared" si="1"/>
        <v>16249762</v>
      </c>
      <c r="X7" s="66">
        <f t="shared" si="1"/>
        <v>18907984</v>
      </c>
      <c r="Y7" s="66">
        <f t="shared" si="1"/>
        <v>11183854</v>
      </c>
      <c r="Z7" s="66">
        <f t="shared" si="1"/>
        <v>5663784.3440334741</v>
      </c>
      <c r="AA7" s="66">
        <f t="shared" si="1"/>
        <v>2942134.859420741</v>
      </c>
      <c r="AB7" s="66">
        <f t="shared" si="1"/>
        <v>3252917.7919412339</v>
      </c>
      <c r="AC7" s="66">
        <f t="shared" si="1"/>
        <v>11966782.636794485</v>
      </c>
      <c r="AD7" s="66">
        <f t="shared" si="1"/>
        <v>46848568.807339452</v>
      </c>
      <c r="AE7" s="66">
        <v>13552774.428954689</v>
      </c>
      <c r="AF7" s="66">
        <v>13163820.635991804</v>
      </c>
      <c r="AG7" s="66">
        <v>27158845.048103929</v>
      </c>
      <c r="AH7" s="66">
        <f>SUM(AH8:AH10)</f>
        <v>7839017.8620508006</v>
      </c>
      <c r="AI7" s="67">
        <f>+AI8+AI9+AI10</f>
        <v>5685882.2345467294</v>
      </c>
      <c r="AJ7" s="67">
        <f t="shared" ref="AJ7:AK7" si="2">+AJ8+AJ9+AJ10</f>
        <v>6257204.5065800324</v>
      </c>
      <c r="AK7" s="67">
        <f t="shared" si="2"/>
        <v>6410000</v>
      </c>
      <c r="AL7" s="67">
        <v>2568427.7138099996</v>
      </c>
      <c r="AM7" s="67">
        <v>2609096.7877499997</v>
      </c>
      <c r="AN7" s="68">
        <v>2609574.0737000057</v>
      </c>
      <c r="AO7" s="68">
        <v>2885171.7477000104</v>
      </c>
      <c r="AP7" s="68">
        <v>1132755.5819999992</v>
      </c>
      <c r="AQ7" s="68">
        <v>1184638.8675000002</v>
      </c>
      <c r="AR7" s="68">
        <v>3367029.8463999997</v>
      </c>
      <c r="AS7" s="68">
        <v>5949562.3488000007</v>
      </c>
      <c r="AT7" s="361">
        <f t="shared" si="0"/>
        <v>671174126.96407843</v>
      </c>
      <c r="AU7" s="359"/>
      <c r="AV7" s="593"/>
      <c r="AW7" s="594"/>
      <c r="AX7" s="411"/>
      <c r="AY7" s="411"/>
    </row>
    <row r="8" spans="1:51" ht="12.75" x14ac:dyDescent="0.2">
      <c r="A8" s="385">
        <v>2001</v>
      </c>
      <c r="B8" s="333" t="s">
        <v>16</v>
      </c>
      <c r="C8" s="267">
        <v>267095.17122177815</v>
      </c>
      <c r="D8" s="267">
        <v>10826671.707896728</v>
      </c>
      <c r="E8" s="267">
        <v>14752349.573295884</v>
      </c>
      <c r="F8" s="267">
        <v>34182594.793129526</v>
      </c>
      <c r="G8" s="267">
        <v>45499984.87630982</v>
      </c>
      <c r="H8" s="267">
        <v>43855994.382629365</v>
      </c>
      <c r="I8" s="267">
        <v>41188387.16646862</v>
      </c>
      <c r="J8" s="267">
        <v>31771999.567894567</v>
      </c>
      <c r="K8" s="267">
        <v>24684229.231932592</v>
      </c>
      <c r="L8" s="267">
        <v>27500283.02905909</v>
      </c>
      <c r="M8" s="267">
        <v>15267961.542616399</v>
      </c>
      <c r="N8" s="267">
        <v>20900790.752943721</v>
      </c>
      <c r="O8" s="267">
        <v>12387009.830398617</v>
      </c>
      <c r="P8" s="49">
        <v>11844323.214864427</v>
      </c>
      <c r="Q8" s="49">
        <v>10050842</v>
      </c>
      <c r="R8" s="49">
        <v>30666699</v>
      </c>
      <c r="S8" s="49">
        <v>41723117</v>
      </c>
      <c r="T8" s="50">
        <v>17331274</v>
      </c>
      <c r="U8" s="50">
        <v>9216874</v>
      </c>
      <c r="V8" s="50">
        <v>7866056</v>
      </c>
      <c r="W8" s="50">
        <v>16249762</v>
      </c>
      <c r="X8" s="50">
        <v>18907984</v>
      </c>
      <c r="Y8" s="50">
        <v>11183854</v>
      </c>
      <c r="Z8" s="50">
        <v>5663784.3440334741</v>
      </c>
      <c r="AA8" s="50">
        <v>2942134.859420741</v>
      </c>
      <c r="AB8" s="50">
        <v>2769429.6208274821</v>
      </c>
      <c r="AC8" s="50">
        <v>6376635.0710900472</v>
      </c>
      <c r="AD8" s="51">
        <v>5611038.3162439289</v>
      </c>
      <c r="AE8" s="51">
        <v>5045450.3624351863</v>
      </c>
      <c r="AF8" s="51">
        <v>6602247.9028239213</v>
      </c>
      <c r="AG8" s="51">
        <v>5813765.1427108683</v>
      </c>
      <c r="AH8" s="51">
        <v>3930000</v>
      </c>
      <c r="AI8" s="52">
        <v>3178653.7085600006</v>
      </c>
      <c r="AJ8" s="52">
        <v>3427132.8117444366</v>
      </c>
      <c r="AK8" s="52">
        <f>4.46*1000000</f>
        <v>4460000</v>
      </c>
      <c r="AL8" s="52">
        <v>2543474.9619299998</v>
      </c>
      <c r="AM8" s="52">
        <v>2609096.7877499997</v>
      </c>
      <c r="AN8" s="53">
        <v>2609574.0737000057</v>
      </c>
      <c r="AO8" s="53">
        <v>2885171.7477000104</v>
      </c>
      <c r="AP8" s="53">
        <v>1132755.5819999992</v>
      </c>
      <c r="AQ8" s="53">
        <v>1184638.8675000002</v>
      </c>
      <c r="AR8" s="53">
        <v>3367029.8463999997</v>
      </c>
      <c r="AS8" s="53">
        <v>5949562.3488000007</v>
      </c>
      <c r="AT8" s="362">
        <f t="shared" si="0"/>
        <v>576227713.19633114</v>
      </c>
      <c r="AV8" s="593" t="s">
        <v>244</v>
      </c>
      <c r="AW8" s="594">
        <f>1981+20</f>
        <v>2001</v>
      </c>
      <c r="AX8" s="411"/>
      <c r="AY8" s="411"/>
    </row>
    <row r="9" spans="1:51" ht="12.75" x14ac:dyDescent="0.2">
      <c r="A9" s="385"/>
      <c r="B9" s="333" t="s">
        <v>56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0"/>
      <c r="U9" s="50"/>
      <c r="V9" s="50"/>
      <c r="W9" s="50"/>
      <c r="X9" s="50"/>
      <c r="Y9" s="50"/>
      <c r="Z9" s="50">
        <v>0</v>
      </c>
      <c r="AA9" s="50">
        <v>0</v>
      </c>
      <c r="AB9" s="50">
        <v>0</v>
      </c>
      <c r="AC9" s="50">
        <v>5251311.9345109863</v>
      </c>
      <c r="AD9" s="51">
        <v>40781709.660010792</v>
      </c>
      <c r="AE9" s="51">
        <v>481632.45474018517</v>
      </c>
      <c r="AF9" s="51">
        <v>5719037.8211678825</v>
      </c>
      <c r="AG9" s="51">
        <v>20616351.929458376</v>
      </c>
      <c r="AH9" s="51">
        <v>3211561.4920508005</v>
      </c>
      <c r="AI9" s="52">
        <v>1851788.935466731</v>
      </c>
      <c r="AJ9" s="52">
        <v>1964579.0444491531</v>
      </c>
      <c r="AK9" s="52">
        <f>1.01*1000000</f>
        <v>1010000</v>
      </c>
      <c r="AL9" s="52">
        <v>24952.75188</v>
      </c>
      <c r="AM9" s="52"/>
      <c r="AN9" s="53"/>
      <c r="AO9" s="53"/>
      <c r="AP9" s="53"/>
      <c r="AQ9" s="53"/>
      <c r="AR9" s="53"/>
      <c r="AS9" s="53"/>
      <c r="AT9" s="362">
        <f t="shared" si="0"/>
        <v>80912926.023734912</v>
      </c>
      <c r="AV9" s="593" t="s">
        <v>245</v>
      </c>
      <c r="AW9" s="594">
        <f>2007+10</f>
        <v>2017</v>
      </c>
      <c r="AX9" s="411"/>
      <c r="AY9" s="411"/>
    </row>
    <row r="10" spans="1:51" ht="13.5" thickBot="1" x14ac:dyDescent="0.25">
      <c r="A10" s="385"/>
      <c r="B10" s="335" t="s">
        <v>57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54"/>
      <c r="U10" s="54"/>
      <c r="V10" s="54"/>
      <c r="W10" s="54"/>
      <c r="X10" s="54"/>
      <c r="Y10" s="54"/>
      <c r="Z10" s="54">
        <v>0</v>
      </c>
      <c r="AA10" s="54">
        <v>0</v>
      </c>
      <c r="AB10" s="54">
        <v>483488.17111375177</v>
      </c>
      <c r="AC10" s="54">
        <v>338835.63119345112</v>
      </c>
      <c r="AD10" s="55">
        <v>455820.83108472748</v>
      </c>
      <c r="AE10" s="55">
        <v>8025691.6117793173</v>
      </c>
      <c r="AF10" s="55">
        <v>842534.91200000001</v>
      </c>
      <c r="AG10" s="55">
        <v>728727.97593467985</v>
      </c>
      <c r="AH10" s="55">
        <v>697456.37</v>
      </c>
      <c r="AI10" s="56">
        <v>655439.59051999706</v>
      </c>
      <c r="AJ10" s="56">
        <v>865492.6503864429</v>
      </c>
      <c r="AK10" s="56">
        <f>0.94*1000000</f>
        <v>940000</v>
      </c>
      <c r="AL10" s="52"/>
      <c r="AM10" s="52"/>
      <c r="AN10" s="254"/>
      <c r="AO10" s="254"/>
      <c r="AP10" s="254"/>
      <c r="AQ10" s="254"/>
      <c r="AR10" s="254"/>
      <c r="AS10" s="254"/>
      <c r="AT10" s="374">
        <f t="shared" si="0"/>
        <v>14033487.744012367</v>
      </c>
      <c r="AV10" s="593" t="s">
        <v>246</v>
      </c>
      <c r="AW10" s="594">
        <f>2006+30</f>
        <v>2036</v>
      </c>
      <c r="AX10" s="411"/>
      <c r="AY10" s="411"/>
    </row>
    <row r="11" spans="1:51" ht="13.5" thickBot="1" x14ac:dyDescent="0.25">
      <c r="A11" s="595">
        <f>1991+10</f>
        <v>2001</v>
      </c>
      <c r="B11" s="337" t="s">
        <v>111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392">
        <v>5123112.2393864105</v>
      </c>
      <c r="N11" s="392">
        <v>4544290.8069568975</v>
      </c>
      <c r="O11" s="392">
        <v>244954.08879766663</v>
      </c>
      <c r="P11" s="392">
        <v>236125.09452306363</v>
      </c>
      <c r="Q11" s="392">
        <v>222108</v>
      </c>
      <c r="R11" s="229"/>
      <c r="S11" s="229"/>
      <c r="T11" s="43"/>
      <c r="U11" s="43"/>
      <c r="V11" s="43"/>
      <c r="W11" s="43"/>
      <c r="X11" s="43"/>
      <c r="Y11" s="43"/>
      <c r="Z11" s="43">
        <v>0</v>
      </c>
      <c r="AA11" s="43">
        <v>0</v>
      </c>
      <c r="AB11" s="43"/>
      <c r="AC11" s="43"/>
      <c r="AD11" s="46"/>
      <c r="AE11" s="46"/>
      <c r="AF11" s="46"/>
      <c r="AG11" s="46"/>
      <c r="AH11" s="46"/>
      <c r="AI11" s="47"/>
      <c r="AJ11" s="47"/>
      <c r="AK11" s="47"/>
      <c r="AL11" s="47"/>
      <c r="AM11" s="47">
        <v>0</v>
      </c>
      <c r="AN11" s="48">
        <v>0</v>
      </c>
      <c r="AO11" s="48"/>
      <c r="AP11" s="48"/>
      <c r="AQ11" s="48"/>
      <c r="AR11" s="48"/>
      <c r="AS11" s="48"/>
      <c r="AT11" s="360">
        <f t="shared" si="0"/>
        <v>10370590.229664037</v>
      </c>
      <c r="AV11" s="593" t="s">
        <v>247</v>
      </c>
      <c r="AW11" s="594">
        <f>1991+10</f>
        <v>2001</v>
      </c>
      <c r="AX11" s="411"/>
      <c r="AY11" s="411"/>
    </row>
    <row r="12" spans="1:51" ht="13.5" thickBot="1" x14ac:dyDescent="0.25">
      <c r="A12" s="596">
        <f>1991+15</f>
        <v>2006</v>
      </c>
      <c r="B12" s="323" t="s">
        <v>90</v>
      </c>
      <c r="C12" s="57"/>
      <c r="D12" s="57"/>
      <c r="E12" s="57"/>
      <c r="F12" s="57"/>
      <c r="G12" s="57"/>
      <c r="H12" s="57"/>
      <c r="I12" s="57"/>
      <c r="J12" s="57"/>
      <c r="K12" s="57"/>
      <c r="L12" s="324"/>
      <c r="M12" s="393">
        <v>11173352.057902129</v>
      </c>
      <c r="N12" s="393">
        <v>20134825.537431132</v>
      </c>
      <c r="O12" s="393">
        <v>57740131.792157285</v>
      </c>
      <c r="P12" s="393">
        <v>65811468.078211084</v>
      </c>
      <c r="Q12" s="393">
        <v>79068600</v>
      </c>
      <c r="R12" s="393">
        <v>134867648</v>
      </c>
      <c r="S12" s="393">
        <v>165614165</v>
      </c>
      <c r="T12" s="393">
        <v>126449471</v>
      </c>
      <c r="U12" s="57">
        <v>147304567</v>
      </c>
      <c r="V12" s="57">
        <v>116570401</v>
      </c>
      <c r="W12" s="58">
        <v>88219008</v>
      </c>
      <c r="X12" s="59">
        <v>93613508</v>
      </c>
      <c r="Y12" s="57">
        <v>69647984</v>
      </c>
      <c r="Z12" s="60">
        <v>82677332.119715139</v>
      </c>
      <c r="AA12" s="61">
        <v>86111373.689502835</v>
      </c>
      <c r="AB12" s="61">
        <v>89169056.549133822</v>
      </c>
      <c r="AC12" s="60">
        <v>31241976.994280897</v>
      </c>
      <c r="AD12" s="62">
        <v>52041340.376148276</v>
      </c>
      <c r="AE12" s="62">
        <v>75616363.190945536</v>
      </c>
      <c r="AF12" s="62">
        <v>119226482.86811528</v>
      </c>
      <c r="AG12" s="62">
        <v>159481861.41832989</v>
      </c>
      <c r="AH12" s="62">
        <v>122418402.03999999</v>
      </c>
      <c r="AI12" s="63">
        <v>123706174.22604385</v>
      </c>
      <c r="AJ12" s="63">
        <v>136733295.08498704</v>
      </c>
      <c r="AK12" s="63">
        <f>90.44*1000000</f>
        <v>90440000</v>
      </c>
      <c r="AL12" s="63">
        <v>16405252</v>
      </c>
      <c r="AM12" s="63">
        <v>16427644.5</v>
      </c>
      <c r="AN12" s="64">
        <v>14392527.608910242</v>
      </c>
      <c r="AO12" s="64">
        <v>12987960.980870103</v>
      </c>
      <c r="AP12" s="64">
        <v>13093625.682900123</v>
      </c>
      <c r="AQ12" s="64">
        <v>11878741.191700101</v>
      </c>
      <c r="AR12" s="64">
        <v>16200778.119640047</v>
      </c>
      <c r="AS12" s="64">
        <v>8199971.2857201323</v>
      </c>
      <c r="AT12" s="371">
        <f t="shared" si="0"/>
        <v>2454665289.3926444</v>
      </c>
      <c r="AU12" s="332"/>
      <c r="AV12" s="593" t="s">
        <v>248</v>
      </c>
      <c r="AW12" s="594">
        <f>1991+15</f>
        <v>2006</v>
      </c>
      <c r="AX12" s="411"/>
      <c r="AY12" s="411"/>
    </row>
    <row r="13" spans="1:51" ht="12.75" x14ac:dyDescent="0.2">
      <c r="A13" s="588"/>
      <c r="B13" s="327" t="s">
        <v>60</v>
      </c>
      <c r="C13" s="376">
        <f>SUM(C14:C15)</f>
        <v>0</v>
      </c>
      <c r="D13" s="376">
        <f t="shared" ref="D13:AD13" si="3">SUM(D14:D15)</f>
        <v>0</v>
      </c>
      <c r="E13" s="376">
        <f t="shared" si="3"/>
        <v>0</v>
      </c>
      <c r="F13" s="376">
        <f t="shared" si="3"/>
        <v>0</v>
      </c>
      <c r="G13" s="376">
        <f t="shared" si="3"/>
        <v>0</v>
      </c>
      <c r="H13" s="376">
        <f t="shared" si="3"/>
        <v>0</v>
      </c>
      <c r="I13" s="376">
        <f t="shared" si="3"/>
        <v>0</v>
      </c>
      <c r="J13" s="376">
        <f t="shared" si="3"/>
        <v>0</v>
      </c>
      <c r="K13" s="376">
        <f t="shared" si="3"/>
        <v>0</v>
      </c>
      <c r="L13" s="376">
        <f t="shared" si="3"/>
        <v>0</v>
      </c>
      <c r="M13" s="328">
        <f t="shared" si="3"/>
        <v>45253313.168413095</v>
      </c>
      <c r="N13" s="328">
        <f t="shared" si="3"/>
        <v>16051031.65172302</v>
      </c>
      <c r="O13" s="328">
        <f t="shared" si="3"/>
        <v>17300259.263260238</v>
      </c>
      <c r="P13" s="328">
        <f t="shared" si="3"/>
        <v>25413957.005509347</v>
      </c>
      <c r="Q13" s="328">
        <f t="shared" si="3"/>
        <v>24236554</v>
      </c>
      <c r="R13" s="66">
        <f t="shared" si="3"/>
        <v>27883825.575607657</v>
      </c>
      <c r="S13" s="328">
        <f t="shared" si="3"/>
        <v>33732294</v>
      </c>
      <c r="T13" s="328">
        <f t="shared" si="3"/>
        <v>16819275</v>
      </c>
      <c r="U13" s="328">
        <f t="shared" si="3"/>
        <v>10497541</v>
      </c>
      <c r="V13" s="328">
        <f t="shared" si="3"/>
        <v>6482862</v>
      </c>
      <c r="W13" s="328">
        <f t="shared" si="3"/>
        <v>9439735</v>
      </c>
      <c r="X13" s="328">
        <f t="shared" si="3"/>
        <v>13101810</v>
      </c>
      <c r="Y13" s="328">
        <f t="shared" si="3"/>
        <v>8026567</v>
      </c>
      <c r="Z13" s="66">
        <f t="shared" si="3"/>
        <v>6286849.598262703</v>
      </c>
      <c r="AA13" s="66">
        <f t="shared" si="3"/>
        <v>4946684.6710597388</v>
      </c>
      <c r="AB13" s="66">
        <f t="shared" si="3"/>
        <v>6049789.8008714113</v>
      </c>
      <c r="AC13" s="66">
        <f t="shared" si="3"/>
        <v>8383754.009227383</v>
      </c>
      <c r="AD13" s="66">
        <f t="shared" si="3"/>
        <v>7424376.0644219993</v>
      </c>
      <c r="AE13" s="66">
        <v>3546767.4443608206</v>
      </c>
      <c r="AF13" s="66">
        <v>4389872.2137501119</v>
      </c>
      <c r="AG13" s="66">
        <v>1075418.9944134078</v>
      </c>
      <c r="AH13" s="66">
        <f>+AH14</f>
        <v>629062.39820000005</v>
      </c>
      <c r="AI13" s="67">
        <f>+AI14</f>
        <v>555230.80949600006</v>
      </c>
      <c r="AJ13" s="67">
        <v>779952.85160141101</v>
      </c>
      <c r="AK13" s="67">
        <v>590000</v>
      </c>
      <c r="AL13" s="67">
        <f t="shared" ref="AL13:AN13" si="4">+AL14</f>
        <v>0</v>
      </c>
      <c r="AM13" s="67">
        <f t="shared" si="4"/>
        <v>0</v>
      </c>
      <c r="AN13" s="67">
        <f t="shared" si="4"/>
        <v>0</v>
      </c>
      <c r="AO13" s="68"/>
      <c r="AP13" s="68"/>
      <c r="AQ13" s="68"/>
      <c r="AR13" s="68"/>
      <c r="AS13" s="68"/>
      <c r="AT13" s="361">
        <f t="shared" si="0"/>
        <v>298896783.52017832</v>
      </c>
      <c r="AV13" s="593"/>
      <c r="AW13" s="594"/>
      <c r="AX13" s="411"/>
      <c r="AY13" s="411"/>
    </row>
    <row r="14" spans="1:51" ht="12.75" x14ac:dyDescent="0.2">
      <c r="A14" s="385">
        <v>2017</v>
      </c>
      <c r="B14" s="344" t="s">
        <v>61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>
        <v>0</v>
      </c>
      <c r="N14" s="50">
        <v>2413740.9527924815</v>
      </c>
      <c r="O14" s="50">
        <v>15918591.336286055</v>
      </c>
      <c r="P14" s="50">
        <v>24842173.490331642</v>
      </c>
      <c r="Q14" s="50">
        <v>24013660</v>
      </c>
      <c r="R14" s="50">
        <v>27827749</v>
      </c>
      <c r="S14" s="50">
        <v>33732294</v>
      </c>
      <c r="T14" s="50">
        <v>16819275</v>
      </c>
      <c r="U14" s="50">
        <v>10497541</v>
      </c>
      <c r="V14" s="49">
        <v>6482862</v>
      </c>
      <c r="W14" s="49">
        <v>9439735</v>
      </c>
      <c r="X14" s="49">
        <v>13101810</v>
      </c>
      <c r="Y14" s="49">
        <v>8026567</v>
      </c>
      <c r="Z14" s="50">
        <v>6286849.598262703</v>
      </c>
      <c r="AA14" s="50">
        <v>4946684.6710597388</v>
      </c>
      <c r="AB14" s="50">
        <v>6049789.8008714113</v>
      </c>
      <c r="AC14" s="50">
        <v>8383754.009227383</v>
      </c>
      <c r="AD14" s="51">
        <v>7424376.0644219993</v>
      </c>
      <c r="AE14" s="51">
        <v>3546767.4443608206</v>
      </c>
      <c r="AF14" s="51">
        <v>4389872.2137501119</v>
      </c>
      <c r="AG14" s="51">
        <v>1075418.9944134078</v>
      </c>
      <c r="AH14" s="51">
        <v>629062.39820000005</v>
      </c>
      <c r="AI14" s="52">
        <v>555230.80949600006</v>
      </c>
      <c r="AJ14" s="52">
        <v>779952.85160141101</v>
      </c>
      <c r="AK14" s="52">
        <f>0.59*1000000</f>
        <v>590000</v>
      </c>
      <c r="AL14" s="52"/>
      <c r="AM14" s="52"/>
      <c r="AN14" s="53"/>
      <c r="AO14" s="53"/>
      <c r="AP14" s="53"/>
      <c r="AQ14" s="53"/>
      <c r="AR14" s="53"/>
      <c r="AS14" s="53"/>
      <c r="AT14" s="362">
        <f t="shared" si="0"/>
        <v>237773757.63507518</v>
      </c>
      <c r="AU14" s="332"/>
      <c r="AV14" s="593" t="s">
        <v>249</v>
      </c>
      <c r="AW14" s="594">
        <f>1992+25</f>
        <v>2017</v>
      </c>
      <c r="AX14" s="411"/>
      <c r="AY14" s="411"/>
    </row>
    <row r="15" spans="1:51" ht="23.25" thickBot="1" x14ac:dyDescent="0.25">
      <c r="A15" s="597">
        <f>1991+15</f>
        <v>2006</v>
      </c>
      <c r="B15" s="347" t="s">
        <v>62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394">
        <v>45253313.168413095</v>
      </c>
      <c r="N15" s="55">
        <v>13637290.698930539</v>
      </c>
      <c r="O15" s="55">
        <v>1381667.9269741818</v>
      </c>
      <c r="P15" s="55">
        <v>571783.51517770335</v>
      </c>
      <c r="Q15" s="55">
        <v>222894</v>
      </c>
      <c r="R15" s="55">
        <v>56076.575607657564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  <c r="AE15" s="55"/>
      <c r="AF15" s="55"/>
      <c r="AG15" s="55"/>
      <c r="AH15" s="55"/>
      <c r="AI15" s="56"/>
      <c r="AJ15" s="56"/>
      <c r="AK15" s="56"/>
      <c r="AL15" s="56"/>
      <c r="AM15" s="56">
        <v>0</v>
      </c>
      <c r="AN15" s="373">
        <v>0</v>
      </c>
      <c r="AO15" s="373"/>
      <c r="AP15" s="373"/>
      <c r="AQ15" s="373"/>
      <c r="AR15" s="373"/>
      <c r="AS15" s="373"/>
      <c r="AT15" s="374">
        <f t="shared" si="0"/>
        <v>61123025.885103181</v>
      </c>
      <c r="AV15" s="593" t="s">
        <v>250</v>
      </c>
      <c r="AW15" s="594">
        <f>1991+15</f>
        <v>2006</v>
      </c>
      <c r="AX15" s="411"/>
      <c r="AY15" s="411"/>
    </row>
    <row r="16" spans="1:51" ht="12.75" x14ac:dyDescent="0.2">
      <c r="A16" s="588">
        <v>2012</v>
      </c>
      <c r="B16" s="375" t="s">
        <v>17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267">
        <v>81709.371048800065</v>
      </c>
      <c r="AB16" s="267">
        <v>174047.78841509024</v>
      </c>
      <c r="AC16" s="65">
        <v>235742.60115736388</v>
      </c>
      <c r="AD16" s="66">
        <v>419794.03903585667</v>
      </c>
      <c r="AE16" s="66">
        <v>272895.69839845441</v>
      </c>
      <c r="AF16" s="66">
        <v>500907.23587611038</v>
      </c>
      <c r="AG16" s="66">
        <v>998740.86807047704</v>
      </c>
      <c r="AH16" s="66">
        <v>1427006.84</v>
      </c>
      <c r="AI16" s="67">
        <v>491291.25672000006</v>
      </c>
      <c r="AJ16" s="67">
        <v>479835.17908874806</v>
      </c>
      <c r="AK16" s="67">
        <f>0.124*1000000</f>
        <v>124000</v>
      </c>
      <c r="AL16" s="67">
        <v>699043</v>
      </c>
      <c r="AM16" s="67">
        <v>1606976.9260499997</v>
      </c>
      <c r="AN16" s="68">
        <v>1567576.4532999999</v>
      </c>
      <c r="AO16" s="68">
        <v>1893838.3447999998</v>
      </c>
      <c r="AP16" s="68">
        <v>2505435.4020000077</v>
      </c>
      <c r="AQ16" s="68">
        <v>4682966.6035000039</v>
      </c>
      <c r="AR16" s="68">
        <v>11277979.211470131</v>
      </c>
      <c r="AS16" s="68">
        <v>15860118.744224049</v>
      </c>
      <c r="AT16" s="361">
        <f t="shared" si="0"/>
        <v>45299905.563155092</v>
      </c>
      <c r="AU16" s="332"/>
      <c r="AV16" s="593" t="s">
        <v>251</v>
      </c>
      <c r="AW16" s="594">
        <f>2005+7</f>
        <v>2012</v>
      </c>
      <c r="AX16" s="411"/>
      <c r="AY16" s="411"/>
    </row>
    <row r="17" spans="1:64" ht="12.75" x14ac:dyDescent="0.2">
      <c r="A17" s="598">
        <f>1991+15</f>
        <v>2006</v>
      </c>
      <c r="B17" s="378" t="s">
        <v>91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267">
        <v>1198071.7295019985</v>
      </c>
      <c r="N17" s="51">
        <v>1797542.4003456845</v>
      </c>
      <c r="O17" s="51">
        <v>5674695.9058010159</v>
      </c>
      <c r="P17" s="267">
        <v>3886233.1208814951</v>
      </c>
      <c r="Q17" s="267">
        <f>410625+2101592</f>
        <v>2512217</v>
      </c>
      <c r="R17" s="267">
        <v>1166112</v>
      </c>
      <c r="S17" s="267">
        <v>716278</v>
      </c>
      <c r="T17" s="49"/>
      <c r="U17" s="49"/>
      <c r="V17" s="49"/>
      <c r="W17" s="49"/>
      <c r="X17" s="49"/>
      <c r="Y17" s="49"/>
      <c r="Z17" s="50">
        <v>0</v>
      </c>
      <c r="AA17" s="50"/>
      <c r="AB17" s="50"/>
      <c r="AC17" s="50"/>
      <c r="AD17" s="51"/>
      <c r="AE17" s="51"/>
      <c r="AF17" s="51"/>
      <c r="AG17" s="51"/>
      <c r="AH17" s="51"/>
      <c r="AI17" s="52"/>
      <c r="AJ17" s="52"/>
      <c r="AK17" s="52"/>
      <c r="AL17" s="52"/>
      <c r="AM17" s="52"/>
      <c r="AN17" s="53"/>
      <c r="AO17" s="53"/>
      <c r="AP17" s="53"/>
      <c r="AQ17" s="53"/>
      <c r="AR17" s="53"/>
      <c r="AS17" s="53"/>
      <c r="AT17" s="362">
        <f t="shared" si="0"/>
        <v>16951150.156530194</v>
      </c>
      <c r="AV17" s="593" t="s">
        <v>252</v>
      </c>
      <c r="AW17" s="594">
        <f>1991+15</f>
        <v>2006</v>
      </c>
      <c r="AX17" s="411"/>
      <c r="AY17" s="411"/>
    </row>
    <row r="18" spans="1:64" ht="13.5" thickBot="1" x14ac:dyDescent="0.25">
      <c r="A18" s="588"/>
      <c r="B18" s="378" t="s">
        <v>64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0"/>
      <c r="AA18" s="50"/>
      <c r="AB18" s="50"/>
      <c r="AC18" s="50"/>
      <c r="AD18" s="51"/>
      <c r="AE18" s="51"/>
      <c r="AF18" s="51"/>
      <c r="AG18" s="51"/>
      <c r="AH18" s="51"/>
      <c r="AI18" s="52"/>
      <c r="AJ18" s="52"/>
      <c r="AK18" s="52"/>
      <c r="AL18" s="52"/>
      <c r="AM18" s="52"/>
      <c r="AN18" s="53"/>
      <c r="AO18" s="53"/>
      <c r="AP18" s="53"/>
      <c r="AQ18" s="53"/>
      <c r="AR18" s="53"/>
      <c r="AS18" s="53"/>
      <c r="AT18" s="362">
        <f t="shared" ref="AT18:AT23" si="5">SUM(C18:AN18)</f>
        <v>0</v>
      </c>
      <c r="AV18" s="599"/>
      <c r="AW18" s="600"/>
      <c r="AX18" s="411"/>
      <c r="AY18" s="411"/>
    </row>
    <row r="19" spans="1:64" ht="12.75" x14ac:dyDescent="0.2">
      <c r="A19" s="588"/>
      <c r="B19" s="378" t="s">
        <v>112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395"/>
      <c r="N19" s="49"/>
      <c r="O19" s="49"/>
      <c r="P19" s="49"/>
      <c r="Q19" s="49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1"/>
      <c r="AE19" s="51"/>
      <c r="AF19" s="51"/>
      <c r="AG19" s="51"/>
      <c r="AH19" s="51"/>
      <c r="AI19" s="52"/>
      <c r="AJ19" s="52"/>
      <c r="AK19" s="52"/>
      <c r="AL19" s="52"/>
      <c r="AM19" s="52"/>
      <c r="AN19" s="53"/>
      <c r="AO19" s="53"/>
      <c r="AP19" s="53"/>
      <c r="AQ19" s="53"/>
      <c r="AR19" s="53"/>
      <c r="AS19" s="53"/>
      <c r="AT19" s="362">
        <f t="shared" si="5"/>
        <v>0</v>
      </c>
      <c r="AX19" s="411"/>
      <c r="AY19" s="411"/>
    </row>
    <row r="20" spans="1:64" x14ac:dyDescent="0.2">
      <c r="A20" s="588"/>
      <c r="B20" s="378" t="s">
        <v>66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395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50"/>
      <c r="AB20" s="50"/>
      <c r="AC20" s="50"/>
      <c r="AD20" s="51"/>
      <c r="AE20" s="51"/>
      <c r="AF20" s="51"/>
      <c r="AG20" s="51"/>
      <c r="AH20" s="51"/>
      <c r="AI20" s="52"/>
      <c r="AJ20" s="52"/>
      <c r="AK20" s="52"/>
      <c r="AL20" s="52"/>
      <c r="AM20" s="52"/>
      <c r="AN20" s="53"/>
      <c r="AO20" s="53"/>
      <c r="AP20" s="53"/>
      <c r="AQ20" s="53"/>
      <c r="AR20" s="53"/>
      <c r="AS20" s="53"/>
      <c r="AT20" s="362">
        <f t="shared" si="5"/>
        <v>0</v>
      </c>
    </row>
    <row r="21" spans="1:64" x14ac:dyDescent="0.2">
      <c r="A21" s="588"/>
      <c r="B21" s="378" t="s">
        <v>67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395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  <c r="AA21" s="50"/>
      <c r="AB21" s="50"/>
      <c r="AC21" s="50"/>
      <c r="AD21" s="51"/>
      <c r="AE21" s="51"/>
      <c r="AF21" s="51"/>
      <c r="AG21" s="51"/>
      <c r="AH21" s="51"/>
      <c r="AI21" s="52"/>
      <c r="AJ21" s="52"/>
      <c r="AK21" s="52"/>
      <c r="AL21" s="52"/>
      <c r="AM21" s="52"/>
      <c r="AN21" s="53"/>
      <c r="AO21" s="53"/>
      <c r="AP21" s="53"/>
      <c r="AQ21" s="53"/>
      <c r="AR21" s="53"/>
      <c r="AS21" s="53"/>
      <c r="AT21" s="362">
        <f t="shared" si="5"/>
        <v>0</v>
      </c>
    </row>
    <row r="22" spans="1:64" ht="12" thickBot="1" x14ac:dyDescent="0.25">
      <c r="A22" s="588"/>
      <c r="B22" s="378" t="s">
        <v>68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395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  <c r="AA22" s="50"/>
      <c r="AB22" s="50"/>
      <c r="AC22" s="50"/>
      <c r="AD22" s="51"/>
      <c r="AE22" s="51"/>
      <c r="AF22" s="51"/>
      <c r="AG22" s="51"/>
      <c r="AH22" s="51"/>
      <c r="AI22" s="52"/>
      <c r="AJ22" s="52"/>
      <c r="AK22" s="52"/>
      <c r="AL22" s="52"/>
      <c r="AM22" s="52"/>
      <c r="AN22" s="53"/>
      <c r="AO22" s="53"/>
      <c r="AP22" s="53"/>
      <c r="AQ22" s="53"/>
      <c r="AR22" s="53"/>
      <c r="AS22" s="53"/>
      <c r="AT22" s="362">
        <f t="shared" si="5"/>
        <v>0</v>
      </c>
    </row>
    <row r="23" spans="1:64" ht="14.25" thickTop="1" thickBot="1" x14ac:dyDescent="0.25">
      <c r="A23" s="588"/>
      <c r="B23" s="378" t="s">
        <v>69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395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50"/>
      <c r="AA23" s="50"/>
      <c r="AB23" s="50"/>
      <c r="AC23" s="50"/>
      <c r="AD23" s="51"/>
      <c r="AE23" s="51"/>
      <c r="AF23" s="51"/>
      <c r="AG23" s="51"/>
      <c r="AH23" s="51"/>
      <c r="AI23" s="52"/>
      <c r="AJ23" s="52"/>
      <c r="AK23" s="52"/>
      <c r="AL23" s="52"/>
      <c r="AM23" s="52"/>
      <c r="AN23" s="53"/>
      <c r="AO23" s="53"/>
      <c r="AP23" s="53"/>
      <c r="AQ23" s="53"/>
      <c r="AR23" s="53"/>
      <c r="AS23" s="53"/>
      <c r="AT23" s="362">
        <f t="shared" si="5"/>
        <v>0</v>
      </c>
      <c r="AV23" s="489" t="s">
        <v>253</v>
      </c>
      <c r="AW23" s="490"/>
      <c r="AY23" s="491" t="s">
        <v>254</v>
      </c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601"/>
    </row>
    <row r="24" spans="1:64" ht="13.5" thickTop="1" thickBot="1" x14ac:dyDescent="0.25">
      <c r="A24" s="588"/>
      <c r="B24" s="379" t="s">
        <v>70</v>
      </c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69"/>
      <c r="Y24" s="69"/>
      <c r="Z24" s="69"/>
      <c r="AA24" s="69"/>
      <c r="AB24" s="69"/>
      <c r="AC24" s="380"/>
      <c r="AD24" s="69"/>
      <c r="AE24" s="69"/>
      <c r="AF24" s="69"/>
      <c r="AG24" s="69">
        <v>3346922.0025784271</v>
      </c>
      <c r="AH24" s="69">
        <v>4321555.1882867999</v>
      </c>
      <c r="AI24" s="70">
        <v>5053826.2042004</v>
      </c>
      <c r="AJ24" s="70">
        <v>4856328.4624177348</v>
      </c>
      <c r="AK24" s="70">
        <f>5.8*1000000</f>
        <v>5800000</v>
      </c>
      <c r="AL24" s="70">
        <v>17832.72582</v>
      </c>
      <c r="AM24" s="52"/>
      <c r="AN24" s="254"/>
      <c r="AO24" s="254"/>
      <c r="AP24" s="254"/>
      <c r="AQ24" s="254"/>
      <c r="AR24" s="254"/>
      <c r="AS24" s="254"/>
      <c r="AT24" s="383">
        <f>SUM(C24:AS24)</f>
        <v>23396464.583303366</v>
      </c>
      <c r="AU24" s="332"/>
      <c r="AV24" s="495">
        <f>+AT25</f>
        <v>3616387143.7639246</v>
      </c>
      <c r="AW24" s="496" t="s">
        <v>195</v>
      </c>
      <c r="AY24" s="497" t="s">
        <v>255</v>
      </c>
      <c r="BL24" s="602"/>
    </row>
    <row r="25" spans="1:64" s="396" customFormat="1" ht="13.5" thickTop="1" thickBot="1" x14ac:dyDescent="0.25">
      <c r="B25" s="131" t="s">
        <v>113</v>
      </c>
      <c r="C25" s="71">
        <f>+C6+C7+C12+C13+C16+C17+C18+C19+C20+C21+C22+C23+C11</f>
        <v>267095.17122177815</v>
      </c>
      <c r="D25" s="71">
        <f t="shared" ref="D25:AF25" si="6">+D6+D7+D12+D13+D16+D17+D18+D19+D20+D21+D22+D23+D11</f>
        <v>10826671.707896728</v>
      </c>
      <c r="E25" s="71">
        <f t="shared" si="6"/>
        <v>14752349.573295884</v>
      </c>
      <c r="F25" s="71">
        <f t="shared" si="6"/>
        <v>34182594.793129526</v>
      </c>
      <c r="G25" s="71">
        <f t="shared" si="6"/>
        <v>45499984.87630982</v>
      </c>
      <c r="H25" s="71">
        <f t="shared" si="6"/>
        <v>43855994.382629365</v>
      </c>
      <c r="I25" s="71">
        <f t="shared" si="6"/>
        <v>41188387.16646862</v>
      </c>
      <c r="J25" s="71">
        <f t="shared" si="6"/>
        <v>31771999.567894567</v>
      </c>
      <c r="K25" s="71">
        <f t="shared" si="6"/>
        <v>24684229.231932592</v>
      </c>
      <c r="L25" s="71">
        <f t="shared" si="6"/>
        <v>27500283.02905909</v>
      </c>
      <c r="M25" s="71">
        <f t="shared" si="6"/>
        <v>78015810.737820029</v>
      </c>
      <c r="N25" s="71">
        <f t="shared" si="6"/>
        <v>63428481.14940045</v>
      </c>
      <c r="O25" s="71">
        <f t="shared" si="6"/>
        <v>93347050.880414814</v>
      </c>
      <c r="P25" s="71">
        <f t="shared" si="6"/>
        <v>107192106.51398942</v>
      </c>
      <c r="Q25" s="71">
        <f t="shared" si="6"/>
        <v>116090321</v>
      </c>
      <c r="R25" s="71">
        <f t="shared" si="6"/>
        <v>194584284.57560766</v>
      </c>
      <c r="S25" s="71">
        <f t="shared" si="6"/>
        <v>241785854</v>
      </c>
      <c r="T25" s="71">
        <f t="shared" si="6"/>
        <v>161097489</v>
      </c>
      <c r="U25" s="71">
        <f t="shared" si="6"/>
        <v>167497190</v>
      </c>
      <c r="V25" s="71">
        <f t="shared" si="6"/>
        <v>131895412</v>
      </c>
      <c r="W25" s="71">
        <f t="shared" si="6"/>
        <v>115592304</v>
      </c>
      <c r="X25" s="71">
        <f t="shared" si="6"/>
        <v>127380740</v>
      </c>
      <c r="Y25" s="71">
        <f t="shared" si="6"/>
        <v>91215457</v>
      </c>
      <c r="Z25" s="71">
        <f t="shared" si="6"/>
        <v>98566803.199811399</v>
      </c>
      <c r="AA25" s="71">
        <f t="shared" si="6"/>
        <v>98830239.954579592</v>
      </c>
      <c r="AB25" s="71">
        <f t="shared" si="6"/>
        <v>107131935.8061257</v>
      </c>
      <c r="AC25" s="71">
        <f t="shared" si="6"/>
        <v>60303614.932535067</v>
      </c>
      <c r="AD25" s="71">
        <f t="shared" si="6"/>
        <v>111506716.38439439</v>
      </c>
      <c r="AE25" s="71">
        <f t="shared" si="6"/>
        <v>96038741.300104454</v>
      </c>
      <c r="AF25" s="71">
        <f t="shared" si="6"/>
        <v>141149526.63861492</v>
      </c>
      <c r="AG25" s="71">
        <f t="shared" ref="AG25:AN25" si="7">+AG6+AG7+AG12+AG13+AG16+AG17+AG18+AG19+AG20+AG21+AG22+AG23+AG11+AG24</f>
        <v>195958769.8580066</v>
      </c>
      <c r="AH25" s="71">
        <f t="shared" si="7"/>
        <v>140850442.12839958</v>
      </c>
      <c r="AI25" s="72">
        <f t="shared" si="7"/>
        <v>138631884.23944697</v>
      </c>
      <c r="AJ25" s="72">
        <f t="shared" si="7"/>
        <v>153593256.9629004</v>
      </c>
      <c r="AK25" s="72">
        <f t="shared" si="7"/>
        <v>107634000</v>
      </c>
      <c r="AL25" s="72">
        <f t="shared" si="7"/>
        <v>22450741.322000001</v>
      </c>
      <c r="AM25" s="72">
        <f t="shared" si="7"/>
        <v>23610548.713799998</v>
      </c>
      <c r="AN25" s="73">
        <f t="shared" si="7"/>
        <v>22403765.149810247</v>
      </c>
      <c r="AO25" s="73">
        <v>21678745.884470113</v>
      </c>
      <c r="AP25" s="73">
        <v>20613286.476900127</v>
      </c>
      <c r="AQ25" s="73">
        <v>21870801.900700107</v>
      </c>
      <c r="AR25" s="73">
        <v>35946609.60871017</v>
      </c>
      <c r="AS25" s="73">
        <v>33964622.945544183</v>
      </c>
      <c r="AT25" s="74">
        <f>SUM(C25:AS25)</f>
        <v>3616387143.7639246</v>
      </c>
      <c r="AV25" s="499">
        <f>+BL33</f>
        <v>1232030169.3382816</v>
      </c>
      <c r="AW25" s="500" t="s">
        <v>256</v>
      </c>
      <c r="AY25" s="501"/>
      <c r="AZ25" s="385" t="s">
        <v>257</v>
      </c>
      <c r="BA25" s="385">
        <v>2006</v>
      </c>
      <c r="BB25" s="385">
        <v>2007</v>
      </c>
      <c r="BC25" s="385">
        <v>2008</v>
      </c>
      <c r="BD25" s="385">
        <v>2009</v>
      </c>
      <c r="BE25" s="385">
        <v>2010</v>
      </c>
      <c r="BF25" s="385">
        <v>2011</v>
      </c>
      <c r="BG25" s="385">
        <v>2012</v>
      </c>
      <c r="BH25" s="385">
        <v>2013</v>
      </c>
      <c r="BI25" s="385">
        <v>2014</v>
      </c>
      <c r="BJ25" s="385">
        <v>2015</v>
      </c>
      <c r="BK25" s="385">
        <v>2016</v>
      </c>
      <c r="BL25" s="502" t="s">
        <v>199</v>
      </c>
    </row>
    <row r="26" spans="1:64" s="396" customFormat="1" ht="13.5" thickTop="1" thickBot="1" x14ac:dyDescent="0.25">
      <c r="B26" s="603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6"/>
      <c r="AV26" s="495"/>
      <c r="AW26" s="604"/>
      <c r="AY26" s="501"/>
      <c r="AZ26" s="385"/>
      <c r="BA26" s="385"/>
      <c r="BB26" s="385"/>
      <c r="BC26" s="385"/>
      <c r="BD26" s="385"/>
      <c r="BE26" s="385"/>
      <c r="BF26" s="385"/>
      <c r="BG26" s="385"/>
      <c r="BH26" s="385"/>
      <c r="BI26" s="385"/>
      <c r="BJ26" s="385"/>
      <c r="BK26" s="385"/>
      <c r="BL26" s="502"/>
    </row>
    <row r="27" spans="1:64" ht="13.5" thickTop="1" thickBot="1" x14ac:dyDescent="0.25">
      <c r="B27" s="397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9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9"/>
      <c r="Z27" s="398"/>
      <c r="AA27" s="398"/>
      <c r="AB27" s="398"/>
      <c r="AC27" s="354"/>
      <c r="AD27" s="77"/>
      <c r="AE27" s="77"/>
      <c r="AF27" s="78"/>
      <c r="AG27" s="78"/>
      <c r="AH27" s="78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7">
        <f>+AT6+AT7+AT11+AT12+AT13+AT16+AT17+AT18+AT19+AT20+AT21+AT22+AT23+AT24</f>
        <v>3616387143.7639241</v>
      </c>
      <c r="AU27" s="346"/>
      <c r="AV27" s="495">
        <f>+AV24-AV25</f>
        <v>2384356974.425643</v>
      </c>
      <c r="AW27" s="503"/>
      <c r="AY27" s="497" t="s">
        <v>258</v>
      </c>
      <c r="AZ27" s="359">
        <f>+AT11</f>
        <v>10370590.229664037</v>
      </c>
      <c r="BA27" s="359"/>
      <c r="BB27" s="310"/>
      <c r="BC27" s="310"/>
      <c r="BD27" s="310"/>
      <c r="BE27" s="310"/>
      <c r="BL27" s="504">
        <f>SUM(AZ27:BK27)</f>
        <v>10370590.229664037</v>
      </c>
    </row>
    <row r="28" spans="1:64" ht="13.5" thickTop="1" thickBot="1" x14ac:dyDescent="0.25">
      <c r="AC28" s="307"/>
      <c r="AD28" s="307"/>
      <c r="AE28" s="307"/>
      <c r="AF28" s="307"/>
      <c r="AG28" s="307"/>
      <c r="AH28" s="307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07"/>
      <c r="AV28" s="505">
        <f>+AV27/1000</f>
        <v>2384356.9744256428</v>
      </c>
      <c r="AW28" s="506" t="s">
        <v>259</v>
      </c>
      <c r="AY28" s="497" t="s">
        <v>260</v>
      </c>
      <c r="AZ28" s="119"/>
      <c r="BA28" s="110">
        <f t="shared" ref="BA28:BK28" si="8">+M12</f>
        <v>11173352.057902129</v>
      </c>
      <c r="BB28" s="110">
        <f t="shared" si="8"/>
        <v>20134825.537431132</v>
      </c>
      <c r="BC28" s="110">
        <f t="shared" si="8"/>
        <v>57740131.792157285</v>
      </c>
      <c r="BD28" s="110">
        <f t="shared" si="8"/>
        <v>65811468.078211084</v>
      </c>
      <c r="BE28" s="110">
        <f t="shared" si="8"/>
        <v>79068600</v>
      </c>
      <c r="BF28" s="110">
        <f t="shared" si="8"/>
        <v>134867648</v>
      </c>
      <c r="BG28" s="110">
        <f t="shared" si="8"/>
        <v>165614165</v>
      </c>
      <c r="BH28" s="110">
        <f t="shared" si="8"/>
        <v>126449471</v>
      </c>
      <c r="BI28" s="110">
        <f t="shared" si="8"/>
        <v>147304567</v>
      </c>
      <c r="BJ28" s="110">
        <f t="shared" si="8"/>
        <v>116570401</v>
      </c>
      <c r="BK28" s="110">
        <f t="shared" si="8"/>
        <v>88219008</v>
      </c>
      <c r="BL28" s="504">
        <f t="shared" ref="BL28:BL32" si="9">SUM(AZ28:BK28)</f>
        <v>1012953637.4657016</v>
      </c>
    </row>
    <row r="29" spans="1:64" ht="12" thickTop="1" x14ac:dyDescent="0.2">
      <c r="B29" s="605" t="s">
        <v>261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7"/>
      <c r="AD29" s="608"/>
      <c r="AE29" s="608"/>
      <c r="AF29" s="608"/>
      <c r="AG29" s="608"/>
      <c r="AH29" s="608"/>
      <c r="AI29" s="609"/>
      <c r="AJ29" s="609"/>
      <c r="AK29" s="609"/>
      <c r="AL29" s="609"/>
      <c r="AM29" s="609"/>
      <c r="AN29" s="610"/>
      <c r="AO29" s="610"/>
      <c r="AP29" s="610"/>
      <c r="AQ29" s="610"/>
      <c r="AR29" s="610"/>
      <c r="AS29" s="610"/>
      <c r="AT29" s="80" t="s">
        <v>262</v>
      </c>
      <c r="AV29" s="611" t="s">
        <v>263</v>
      </c>
      <c r="AW29" s="612"/>
      <c r="AY29" s="497" t="s">
        <v>264</v>
      </c>
      <c r="BA29" s="359">
        <f t="shared" ref="BA29:BK29" si="10">+M15</f>
        <v>45253313.168413095</v>
      </c>
      <c r="BB29" s="359">
        <f t="shared" si="10"/>
        <v>13637290.698930539</v>
      </c>
      <c r="BC29" s="359">
        <f t="shared" si="10"/>
        <v>1381667.9269741818</v>
      </c>
      <c r="BD29" s="359">
        <f t="shared" si="10"/>
        <v>571783.51517770335</v>
      </c>
      <c r="BE29" s="359">
        <f t="shared" si="10"/>
        <v>222894</v>
      </c>
      <c r="BF29" s="359">
        <f t="shared" si="10"/>
        <v>56076.575607657564</v>
      </c>
      <c r="BG29" s="359">
        <f t="shared" si="10"/>
        <v>0</v>
      </c>
      <c r="BH29" s="359">
        <f t="shared" si="10"/>
        <v>0</v>
      </c>
      <c r="BI29" s="359">
        <f t="shared" si="10"/>
        <v>0</v>
      </c>
      <c r="BJ29" s="359">
        <f t="shared" si="10"/>
        <v>0</v>
      </c>
      <c r="BK29" s="359">
        <f t="shared" si="10"/>
        <v>0</v>
      </c>
      <c r="BL29" s="504">
        <f t="shared" si="9"/>
        <v>61123025.885103181</v>
      </c>
    </row>
    <row r="30" spans="1:64" ht="12" thickBot="1" x14ac:dyDescent="0.25">
      <c r="B30" s="613"/>
      <c r="C30" s="614">
        <v>1981</v>
      </c>
      <c r="D30" s="614">
        <v>1982</v>
      </c>
      <c r="E30" s="614">
        <v>1983</v>
      </c>
      <c r="F30" s="614">
        <v>1984</v>
      </c>
      <c r="G30" s="614">
        <v>1985</v>
      </c>
      <c r="H30" s="614">
        <v>1986</v>
      </c>
      <c r="I30" s="614">
        <v>1987</v>
      </c>
      <c r="J30" s="614">
        <v>1988</v>
      </c>
      <c r="K30" s="614">
        <v>1989</v>
      </c>
      <c r="L30" s="614">
        <v>1990</v>
      </c>
      <c r="M30" s="614">
        <v>1991</v>
      </c>
      <c r="N30" s="614">
        <v>1992</v>
      </c>
      <c r="O30" s="614">
        <v>1993</v>
      </c>
      <c r="P30" s="614">
        <v>1994</v>
      </c>
      <c r="Q30" s="614">
        <v>1995</v>
      </c>
      <c r="R30" s="614">
        <v>1996</v>
      </c>
      <c r="S30" s="614">
        <v>1997</v>
      </c>
      <c r="T30" s="614">
        <v>1998</v>
      </c>
      <c r="U30" s="614">
        <v>1999</v>
      </c>
      <c r="V30" s="614">
        <v>2000</v>
      </c>
      <c r="W30" s="614">
        <v>2001</v>
      </c>
      <c r="X30" s="614">
        <v>2002</v>
      </c>
      <c r="Y30" s="614">
        <v>2003</v>
      </c>
      <c r="Z30" s="614">
        <v>2004</v>
      </c>
      <c r="AA30" s="614">
        <v>2005</v>
      </c>
      <c r="AB30" s="614">
        <v>2006</v>
      </c>
      <c r="AC30" s="614">
        <v>2007</v>
      </c>
      <c r="AD30" s="614">
        <v>2008</v>
      </c>
      <c r="AE30" s="614">
        <v>2009</v>
      </c>
      <c r="AF30" s="614">
        <v>2010</v>
      </c>
      <c r="AG30" s="614">
        <v>2011</v>
      </c>
      <c r="AH30" s="614">
        <v>2012</v>
      </c>
      <c r="AI30" s="615">
        <v>2013</v>
      </c>
      <c r="AJ30" s="615">
        <v>2014</v>
      </c>
      <c r="AK30" s="615">
        <v>2015</v>
      </c>
      <c r="AL30" s="615">
        <v>2016</v>
      </c>
      <c r="AM30" s="615">
        <v>2017</v>
      </c>
      <c r="AN30" s="615">
        <v>2018</v>
      </c>
      <c r="AO30" s="615">
        <v>2019</v>
      </c>
      <c r="AP30" s="615">
        <v>2020</v>
      </c>
      <c r="AQ30" s="615">
        <v>2021</v>
      </c>
      <c r="AR30" s="615">
        <v>2022</v>
      </c>
      <c r="AS30" s="615">
        <v>2023</v>
      </c>
      <c r="AT30" s="81" t="s">
        <v>199</v>
      </c>
      <c r="AV30" s="611"/>
      <c r="AW30" s="612"/>
      <c r="AY30" s="497" t="s">
        <v>265</v>
      </c>
      <c r="BA30" s="359">
        <f t="shared" ref="BA30:BK30" si="11">+M17</f>
        <v>1198071.7295019985</v>
      </c>
      <c r="BB30" s="359">
        <f t="shared" si="11"/>
        <v>1797542.4003456845</v>
      </c>
      <c r="BC30" s="359">
        <f t="shared" si="11"/>
        <v>5674695.9058010159</v>
      </c>
      <c r="BD30" s="359">
        <f t="shared" si="11"/>
        <v>3886233.1208814951</v>
      </c>
      <c r="BE30" s="359">
        <f t="shared" si="11"/>
        <v>2512217</v>
      </c>
      <c r="BF30" s="359">
        <f t="shared" si="11"/>
        <v>1166112</v>
      </c>
      <c r="BG30" s="359">
        <f t="shared" si="11"/>
        <v>716278</v>
      </c>
      <c r="BH30" s="359">
        <f t="shared" si="11"/>
        <v>0</v>
      </c>
      <c r="BI30" s="359">
        <f t="shared" si="11"/>
        <v>0</v>
      </c>
      <c r="BJ30" s="359">
        <f t="shared" si="11"/>
        <v>0</v>
      </c>
      <c r="BK30" s="359">
        <f t="shared" si="11"/>
        <v>0</v>
      </c>
      <c r="BL30" s="504">
        <f t="shared" si="9"/>
        <v>16951150.156530194</v>
      </c>
    </row>
    <row r="31" spans="1:64" ht="12" thickTop="1" x14ac:dyDescent="0.2">
      <c r="B31" s="616">
        <v>1981</v>
      </c>
      <c r="C31" s="617">
        <f>+C25/2</f>
        <v>133547.58561088907</v>
      </c>
      <c r="D31" s="617">
        <f>+C25</f>
        <v>267095.17122177815</v>
      </c>
      <c r="E31" s="617">
        <f t="shared" ref="E31:T44" si="12">+D31</f>
        <v>267095.17122177815</v>
      </c>
      <c r="F31" s="617">
        <f t="shared" si="12"/>
        <v>267095.17122177815</v>
      </c>
      <c r="G31" s="617">
        <f t="shared" si="12"/>
        <v>267095.17122177815</v>
      </c>
      <c r="H31" s="617">
        <f t="shared" si="12"/>
        <v>267095.17122177815</v>
      </c>
      <c r="I31" s="617">
        <f t="shared" si="12"/>
        <v>267095.17122177815</v>
      </c>
      <c r="J31" s="617">
        <f t="shared" si="12"/>
        <v>267095.17122177815</v>
      </c>
      <c r="K31" s="617">
        <f t="shared" si="12"/>
        <v>267095.17122177815</v>
      </c>
      <c r="L31" s="617">
        <f t="shared" si="12"/>
        <v>267095.17122177815</v>
      </c>
      <c r="M31" s="617">
        <f t="shared" si="12"/>
        <v>267095.17122177815</v>
      </c>
      <c r="N31" s="617">
        <f t="shared" si="12"/>
        <v>267095.17122177815</v>
      </c>
      <c r="O31" s="617">
        <f t="shared" si="12"/>
        <v>267095.17122177815</v>
      </c>
      <c r="P31" s="617">
        <f t="shared" si="12"/>
        <v>267095.17122177815</v>
      </c>
      <c r="Q31" s="617">
        <f t="shared" si="12"/>
        <v>267095.17122177815</v>
      </c>
      <c r="R31" s="617">
        <f t="shared" si="12"/>
        <v>267095.17122177815</v>
      </c>
      <c r="S31" s="617">
        <f t="shared" si="12"/>
        <v>267095.17122177815</v>
      </c>
      <c r="T31" s="617">
        <f t="shared" si="12"/>
        <v>267095.17122177815</v>
      </c>
      <c r="U31" s="617">
        <f t="shared" ref="U31:AJ46" si="13">+T31</f>
        <v>267095.17122177815</v>
      </c>
      <c r="V31" s="617">
        <f t="shared" si="13"/>
        <v>267095.17122177815</v>
      </c>
      <c r="W31" s="617">
        <f t="shared" si="13"/>
        <v>267095.17122177815</v>
      </c>
      <c r="X31" s="617">
        <f t="shared" si="13"/>
        <v>267095.17122177815</v>
      </c>
      <c r="Y31" s="617">
        <f t="shared" si="13"/>
        <v>267095.17122177815</v>
      </c>
      <c r="Z31" s="617">
        <f t="shared" si="13"/>
        <v>267095.17122177815</v>
      </c>
      <c r="AA31" s="617">
        <f t="shared" si="13"/>
        <v>267095.17122177815</v>
      </c>
      <c r="AB31" s="617">
        <f t="shared" si="13"/>
        <v>267095.17122177815</v>
      </c>
      <c r="AC31" s="617">
        <f t="shared" si="13"/>
        <v>267095.17122177815</v>
      </c>
      <c r="AD31" s="617">
        <f t="shared" si="13"/>
        <v>267095.17122177815</v>
      </c>
      <c r="AE31" s="617">
        <f t="shared" si="13"/>
        <v>267095.17122177815</v>
      </c>
      <c r="AF31" s="617">
        <f t="shared" si="13"/>
        <v>267095.17122177815</v>
      </c>
      <c r="AG31" s="617">
        <f t="shared" si="13"/>
        <v>267095.17122177815</v>
      </c>
      <c r="AH31" s="617">
        <f t="shared" si="13"/>
        <v>267095.17122177815</v>
      </c>
      <c r="AI31" s="618">
        <f t="shared" si="13"/>
        <v>267095.17122177815</v>
      </c>
      <c r="AJ31" s="618">
        <f t="shared" si="13"/>
        <v>267095.17122177815</v>
      </c>
      <c r="AK31" s="618">
        <f t="shared" ref="AJ31:AN46" si="14">+AJ31</f>
        <v>267095.17122177815</v>
      </c>
      <c r="AL31" s="618">
        <f t="shared" si="14"/>
        <v>267095.17122177815</v>
      </c>
      <c r="AM31" s="618">
        <f t="shared" si="14"/>
        <v>267095.17122177815</v>
      </c>
      <c r="AN31" s="619">
        <f t="shared" si="14"/>
        <v>267095.17122177815</v>
      </c>
      <c r="AO31" s="619">
        <f t="shared" ref="AO31:AO65" si="15">+AN31</f>
        <v>267095.17122177815</v>
      </c>
      <c r="AP31" s="619">
        <f t="shared" ref="AP31:AP65" si="16">+AO31</f>
        <v>267095.17122177815</v>
      </c>
      <c r="AQ31" s="619">
        <f t="shared" ref="AQ31:AQ65" si="17">+AP31</f>
        <v>267095.17122177815</v>
      </c>
      <c r="AR31" s="619">
        <f t="shared" ref="AR31:AR65" si="18">+AQ31</f>
        <v>267095.17122177815</v>
      </c>
      <c r="AS31" s="619">
        <f t="shared" ref="AS31:AS65" si="19">+AR31</f>
        <v>267095.17122177815</v>
      </c>
      <c r="AT31" s="82">
        <f>SUM(C31:AS31)</f>
        <v>11351544.776925564</v>
      </c>
      <c r="AU31" s="339"/>
      <c r="AV31" s="620" t="s">
        <v>266</v>
      </c>
      <c r="AW31" s="621"/>
      <c r="AY31" s="497" t="s">
        <v>267</v>
      </c>
      <c r="AZ31" s="110">
        <f>+C8+D8+E8+F8+G8</f>
        <v>105528696.12185374</v>
      </c>
      <c r="BA31" s="359">
        <f t="shared" ref="BA31:BK31" si="20">+H8</f>
        <v>43855994.382629365</v>
      </c>
      <c r="BB31" s="359">
        <f t="shared" si="20"/>
        <v>41188387.16646862</v>
      </c>
      <c r="BC31" s="359">
        <f t="shared" si="20"/>
        <v>31771999.567894567</v>
      </c>
      <c r="BD31" s="359">
        <f t="shared" si="20"/>
        <v>24684229.231932592</v>
      </c>
      <c r="BE31" s="359">
        <f t="shared" si="20"/>
        <v>27500283.02905909</v>
      </c>
      <c r="BF31" s="359">
        <f t="shared" si="20"/>
        <v>15267961.542616399</v>
      </c>
      <c r="BG31" s="359">
        <f t="shared" si="20"/>
        <v>20900790.752943721</v>
      </c>
      <c r="BH31" s="359">
        <f t="shared" si="20"/>
        <v>12387009.830398617</v>
      </c>
      <c r="BI31" s="359">
        <f t="shared" si="20"/>
        <v>11844323.214864427</v>
      </c>
      <c r="BJ31" s="359">
        <f t="shared" si="20"/>
        <v>10050842</v>
      </c>
      <c r="BK31" s="359">
        <f t="shared" si="20"/>
        <v>30666699</v>
      </c>
      <c r="BL31" s="504">
        <f t="shared" si="9"/>
        <v>375647215.84066117</v>
      </c>
    </row>
    <row r="32" spans="1:64" x14ac:dyDescent="0.2">
      <c r="B32" s="622">
        <v>1982</v>
      </c>
      <c r="C32" s="623"/>
      <c r="D32" s="623">
        <f>+D25/2</f>
        <v>5413335.853948364</v>
      </c>
      <c r="E32" s="623">
        <f>+D25</f>
        <v>10826671.707896728</v>
      </c>
      <c r="F32" s="623">
        <f t="shared" si="12"/>
        <v>10826671.707896728</v>
      </c>
      <c r="G32" s="623">
        <f t="shared" si="12"/>
        <v>10826671.707896728</v>
      </c>
      <c r="H32" s="623">
        <f t="shared" si="12"/>
        <v>10826671.707896728</v>
      </c>
      <c r="I32" s="623">
        <f t="shared" si="12"/>
        <v>10826671.707896728</v>
      </c>
      <c r="J32" s="623">
        <f t="shared" si="12"/>
        <v>10826671.707896728</v>
      </c>
      <c r="K32" s="623">
        <f t="shared" si="12"/>
        <v>10826671.707896728</v>
      </c>
      <c r="L32" s="623">
        <f t="shared" si="12"/>
        <v>10826671.707896728</v>
      </c>
      <c r="M32" s="623">
        <f t="shared" si="12"/>
        <v>10826671.707896728</v>
      </c>
      <c r="N32" s="623">
        <f t="shared" si="12"/>
        <v>10826671.707896728</v>
      </c>
      <c r="O32" s="623">
        <f t="shared" si="12"/>
        <v>10826671.707896728</v>
      </c>
      <c r="P32" s="623">
        <f t="shared" si="12"/>
        <v>10826671.707896728</v>
      </c>
      <c r="Q32" s="623">
        <f t="shared" si="12"/>
        <v>10826671.707896728</v>
      </c>
      <c r="R32" s="623">
        <f t="shared" si="12"/>
        <v>10826671.707896728</v>
      </c>
      <c r="S32" s="623">
        <f t="shared" si="12"/>
        <v>10826671.707896728</v>
      </c>
      <c r="T32" s="623">
        <f t="shared" si="12"/>
        <v>10826671.707896728</v>
      </c>
      <c r="U32" s="623">
        <f t="shared" si="13"/>
        <v>10826671.707896728</v>
      </c>
      <c r="V32" s="623">
        <f t="shared" si="13"/>
        <v>10826671.707896728</v>
      </c>
      <c r="W32" s="623">
        <f t="shared" si="13"/>
        <v>10826671.707896728</v>
      </c>
      <c r="X32" s="623">
        <f t="shared" si="13"/>
        <v>10826671.707896728</v>
      </c>
      <c r="Y32" s="623">
        <f t="shared" si="13"/>
        <v>10826671.707896728</v>
      </c>
      <c r="Z32" s="623">
        <f t="shared" si="13"/>
        <v>10826671.707896728</v>
      </c>
      <c r="AA32" s="623">
        <f t="shared" si="13"/>
        <v>10826671.707896728</v>
      </c>
      <c r="AB32" s="623">
        <f t="shared" si="13"/>
        <v>10826671.707896728</v>
      </c>
      <c r="AC32" s="623">
        <f t="shared" si="13"/>
        <v>10826671.707896728</v>
      </c>
      <c r="AD32" s="623">
        <f t="shared" si="13"/>
        <v>10826671.707896728</v>
      </c>
      <c r="AE32" s="623">
        <f t="shared" si="13"/>
        <v>10826671.707896728</v>
      </c>
      <c r="AF32" s="623">
        <f t="shared" si="13"/>
        <v>10826671.707896728</v>
      </c>
      <c r="AG32" s="623">
        <f t="shared" si="13"/>
        <v>10826671.707896728</v>
      </c>
      <c r="AH32" s="623">
        <f t="shared" si="13"/>
        <v>10826671.707896728</v>
      </c>
      <c r="AI32" s="624">
        <f t="shared" si="13"/>
        <v>10826671.707896728</v>
      </c>
      <c r="AJ32" s="624">
        <f t="shared" si="13"/>
        <v>10826671.707896728</v>
      </c>
      <c r="AK32" s="624">
        <f t="shared" si="14"/>
        <v>10826671.707896728</v>
      </c>
      <c r="AL32" s="624">
        <f t="shared" si="14"/>
        <v>10826671.707896728</v>
      </c>
      <c r="AM32" s="624">
        <f t="shared" si="14"/>
        <v>10826671.707896728</v>
      </c>
      <c r="AN32" s="625">
        <f t="shared" si="14"/>
        <v>10826671.707896728</v>
      </c>
      <c r="AO32" s="625">
        <f t="shared" si="15"/>
        <v>10826671.707896728</v>
      </c>
      <c r="AP32" s="625">
        <f t="shared" si="16"/>
        <v>10826671.707896728</v>
      </c>
      <c r="AQ32" s="625">
        <f t="shared" si="17"/>
        <v>10826671.707896728</v>
      </c>
      <c r="AR32" s="625">
        <f t="shared" si="18"/>
        <v>10826671.707896728</v>
      </c>
      <c r="AS32" s="625">
        <f t="shared" si="19"/>
        <v>10826671.707896728</v>
      </c>
      <c r="AT32" s="83">
        <f t="shared" ref="AT32:AT73" si="21">SUM(C32:AS32)</f>
        <v>449306875.87771404</v>
      </c>
      <c r="AU32" s="339"/>
      <c r="AV32" s="626">
        <f>+AV27</f>
        <v>2384356974.425643</v>
      </c>
      <c r="AW32" s="627" t="s">
        <v>268</v>
      </c>
      <c r="AY32" s="497" t="s">
        <v>269</v>
      </c>
      <c r="BG32" s="359">
        <f>+AA16</f>
        <v>81709.371048800065</v>
      </c>
      <c r="BH32" s="359">
        <f>+AB16</f>
        <v>174047.78841509024</v>
      </c>
      <c r="BI32" s="359">
        <f>+AC16</f>
        <v>235742.60115736388</v>
      </c>
      <c r="BJ32" s="359">
        <f>+AD16</f>
        <v>419794.03903585667</v>
      </c>
      <c r="BK32" s="359">
        <f>+AE16</f>
        <v>272895.69839845441</v>
      </c>
      <c r="BL32" s="504">
        <f t="shared" si="9"/>
        <v>1184189.4980555652</v>
      </c>
    </row>
    <row r="33" spans="2:64" x14ac:dyDescent="0.2">
      <c r="B33" s="622">
        <v>1983</v>
      </c>
      <c r="C33" s="623"/>
      <c r="D33" s="623"/>
      <c r="E33" s="623">
        <f>+E25/2</f>
        <v>7376174.7866479419</v>
      </c>
      <c r="F33" s="623">
        <f>+E25</f>
        <v>14752349.573295884</v>
      </c>
      <c r="G33" s="623">
        <f t="shared" si="12"/>
        <v>14752349.573295884</v>
      </c>
      <c r="H33" s="623">
        <f t="shared" si="12"/>
        <v>14752349.573295884</v>
      </c>
      <c r="I33" s="623">
        <f t="shared" si="12"/>
        <v>14752349.573295884</v>
      </c>
      <c r="J33" s="623">
        <f t="shared" si="12"/>
        <v>14752349.573295884</v>
      </c>
      <c r="K33" s="623">
        <f t="shared" si="12"/>
        <v>14752349.573295884</v>
      </c>
      <c r="L33" s="623">
        <f t="shared" si="12"/>
        <v>14752349.573295884</v>
      </c>
      <c r="M33" s="623">
        <f t="shared" si="12"/>
        <v>14752349.573295884</v>
      </c>
      <c r="N33" s="623">
        <f t="shared" si="12"/>
        <v>14752349.573295884</v>
      </c>
      <c r="O33" s="623">
        <f t="shared" si="12"/>
        <v>14752349.573295884</v>
      </c>
      <c r="P33" s="623">
        <f t="shared" si="12"/>
        <v>14752349.573295884</v>
      </c>
      <c r="Q33" s="623">
        <f t="shared" si="12"/>
        <v>14752349.573295884</v>
      </c>
      <c r="R33" s="623">
        <f t="shared" si="12"/>
        <v>14752349.573295884</v>
      </c>
      <c r="S33" s="623">
        <f t="shared" si="12"/>
        <v>14752349.573295884</v>
      </c>
      <c r="T33" s="623">
        <f t="shared" si="12"/>
        <v>14752349.573295884</v>
      </c>
      <c r="U33" s="623">
        <f t="shared" si="13"/>
        <v>14752349.573295884</v>
      </c>
      <c r="V33" s="623">
        <f t="shared" si="13"/>
        <v>14752349.573295884</v>
      </c>
      <c r="W33" s="623">
        <f t="shared" si="13"/>
        <v>14752349.573295884</v>
      </c>
      <c r="X33" s="623">
        <f t="shared" si="13"/>
        <v>14752349.573295884</v>
      </c>
      <c r="Y33" s="623">
        <f t="shared" si="13"/>
        <v>14752349.573295884</v>
      </c>
      <c r="Z33" s="623">
        <f t="shared" si="13"/>
        <v>14752349.573295884</v>
      </c>
      <c r="AA33" s="623">
        <f t="shared" si="13"/>
        <v>14752349.573295884</v>
      </c>
      <c r="AB33" s="623">
        <f t="shared" si="13"/>
        <v>14752349.573295884</v>
      </c>
      <c r="AC33" s="623">
        <f t="shared" si="13"/>
        <v>14752349.573295884</v>
      </c>
      <c r="AD33" s="623">
        <f t="shared" si="13"/>
        <v>14752349.573295884</v>
      </c>
      <c r="AE33" s="623">
        <f t="shared" si="13"/>
        <v>14752349.573295884</v>
      </c>
      <c r="AF33" s="623">
        <f t="shared" si="13"/>
        <v>14752349.573295884</v>
      </c>
      <c r="AG33" s="623">
        <f t="shared" si="13"/>
        <v>14752349.573295884</v>
      </c>
      <c r="AH33" s="623">
        <f t="shared" si="13"/>
        <v>14752349.573295884</v>
      </c>
      <c r="AI33" s="624">
        <f t="shared" si="13"/>
        <v>14752349.573295884</v>
      </c>
      <c r="AJ33" s="624">
        <f t="shared" si="13"/>
        <v>14752349.573295884</v>
      </c>
      <c r="AK33" s="624">
        <f t="shared" si="14"/>
        <v>14752349.573295884</v>
      </c>
      <c r="AL33" s="624">
        <f t="shared" si="14"/>
        <v>14752349.573295884</v>
      </c>
      <c r="AM33" s="624">
        <f t="shared" si="14"/>
        <v>14752349.573295884</v>
      </c>
      <c r="AN33" s="625">
        <f t="shared" si="14"/>
        <v>14752349.573295884</v>
      </c>
      <c r="AO33" s="625">
        <f t="shared" si="15"/>
        <v>14752349.573295884</v>
      </c>
      <c r="AP33" s="625">
        <f t="shared" si="16"/>
        <v>14752349.573295884</v>
      </c>
      <c r="AQ33" s="625">
        <f t="shared" si="17"/>
        <v>14752349.573295884</v>
      </c>
      <c r="AR33" s="625">
        <f t="shared" si="18"/>
        <v>14752349.573295884</v>
      </c>
      <c r="AS33" s="625">
        <f t="shared" si="19"/>
        <v>14752349.573295884</v>
      </c>
      <c r="AT33" s="83">
        <f t="shared" si="21"/>
        <v>597470157.71848333</v>
      </c>
      <c r="AU33" s="339"/>
      <c r="AV33" s="626">
        <v>1761817732.0020673</v>
      </c>
      <c r="AW33" s="627" t="s">
        <v>270</v>
      </c>
      <c r="AY33" s="628" t="s">
        <v>199</v>
      </c>
      <c r="AZ33" s="110">
        <f>SUM(AZ27:AZ32)</f>
        <v>115899286.35151778</v>
      </c>
      <c r="BA33" s="110">
        <f t="shared" ref="BA33:BK33" si="22">SUM(BA27:BA32)</f>
        <v>101480731.33844659</v>
      </c>
      <c r="BB33" s="110">
        <f t="shared" si="22"/>
        <v>76758045.803175971</v>
      </c>
      <c r="BC33" s="110">
        <f t="shared" si="22"/>
        <v>96568495.192827046</v>
      </c>
      <c r="BD33" s="110">
        <f t="shared" si="22"/>
        <v>94953713.946202874</v>
      </c>
      <c r="BE33" s="110">
        <f t="shared" si="22"/>
        <v>109303994.02905908</v>
      </c>
      <c r="BF33" s="110">
        <f t="shared" si="22"/>
        <v>151357798.11822405</v>
      </c>
      <c r="BG33" s="110">
        <f t="shared" si="22"/>
        <v>187312943.12399253</v>
      </c>
      <c r="BH33" s="110">
        <f t="shared" si="22"/>
        <v>139010528.61881372</v>
      </c>
      <c r="BI33" s="110">
        <f t="shared" si="22"/>
        <v>159384632.8160218</v>
      </c>
      <c r="BJ33" s="110">
        <f t="shared" si="22"/>
        <v>127041037.03903586</v>
      </c>
      <c r="BK33" s="110">
        <f t="shared" si="22"/>
        <v>119158602.69839846</v>
      </c>
      <c r="BL33" s="504">
        <f>SUM(AZ33:BI33)</f>
        <v>1232030169.3382816</v>
      </c>
    </row>
    <row r="34" spans="2:64" x14ac:dyDescent="0.2">
      <c r="B34" s="622">
        <v>1984</v>
      </c>
      <c r="C34" s="623"/>
      <c r="D34" s="623"/>
      <c r="E34" s="623"/>
      <c r="F34" s="623">
        <f>+F25/2</f>
        <v>17091297.396564763</v>
      </c>
      <c r="G34" s="623">
        <f>+F25</f>
        <v>34182594.793129526</v>
      </c>
      <c r="H34" s="623">
        <f t="shared" si="12"/>
        <v>34182594.793129526</v>
      </c>
      <c r="I34" s="623">
        <f t="shared" si="12"/>
        <v>34182594.793129526</v>
      </c>
      <c r="J34" s="623">
        <f t="shared" si="12"/>
        <v>34182594.793129526</v>
      </c>
      <c r="K34" s="623">
        <f t="shared" si="12"/>
        <v>34182594.793129526</v>
      </c>
      <c r="L34" s="623">
        <f t="shared" si="12"/>
        <v>34182594.793129526</v>
      </c>
      <c r="M34" s="623">
        <f t="shared" si="12"/>
        <v>34182594.793129526</v>
      </c>
      <c r="N34" s="623">
        <f t="shared" si="12"/>
        <v>34182594.793129526</v>
      </c>
      <c r="O34" s="623">
        <f t="shared" si="12"/>
        <v>34182594.793129526</v>
      </c>
      <c r="P34" s="623">
        <f t="shared" si="12"/>
        <v>34182594.793129526</v>
      </c>
      <c r="Q34" s="623">
        <f t="shared" si="12"/>
        <v>34182594.793129526</v>
      </c>
      <c r="R34" s="623">
        <f t="shared" si="12"/>
        <v>34182594.793129526</v>
      </c>
      <c r="S34" s="623">
        <f t="shared" si="12"/>
        <v>34182594.793129526</v>
      </c>
      <c r="T34" s="623">
        <f t="shared" si="12"/>
        <v>34182594.793129526</v>
      </c>
      <c r="U34" s="623">
        <f t="shared" si="13"/>
        <v>34182594.793129526</v>
      </c>
      <c r="V34" s="623">
        <f t="shared" si="13"/>
        <v>34182594.793129526</v>
      </c>
      <c r="W34" s="623">
        <f t="shared" si="13"/>
        <v>34182594.793129526</v>
      </c>
      <c r="X34" s="623">
        <f t="shared" si="13"/>
        <v>34182594.793129526</v>
      </c>
      <c r="Y34" s="623">
        <f t="shared" si="13"/>
        <v>34182594.793129526</v>
      </c>
      <c r="Z34" s="623">
        <f t="shared" si="13"/>
        <v>34182594.793129526</v>
      </c>
      <c r="AA34" s="623">
        <f t="shared" si="13"/>
        <v>34182594.793129526</v>
      </c>
      <c r="AB34" s="623">
        <f t="shared" si="13"/>
        <v>34182594.793129526</v>
      </c>
      <c r="AC34" s="623">
        <f t="shared" si="13"/>
        <v>34182594.793129526</v>
      </c>
      <c r="AD34" s="623">
        <f t="shared" si="13"/>
        <v>34182594.793129526</v>
      </c>
      <c r="AE34" s="623">
        <f t="shared" si="13"/>
        <v>34182594.793129526</v>
      </c>
      <c r="AF34" s="623">
        <f t="shared" si="13"/>
        <v>34182594.793129526</v>
      </c>
      <c r="AG34" s="623">
        <f t="shared" si="13"/>
        <v>34182594.793129526</v>
      </c>
      <c r="AH34" s="623">
        <f t="shared" si="13"/>
        <v>34182594.793129526</v>
      </c>
      <c r="AI34" s="624">
        <f t="shared" si="13"/>
        <v>34182594.793129526</v>
      </c>
      <c r="AJ34" s="624">
        <f t="shared" si="13"/>
        <v>34182594.793129526</v>
      </c>
      <c r="AK34" s="624">
        <f t="shared" si="14"/>
        <v>34182594.793129526</v>
      </c>
      <c r="AL34" s="624">
        <f t="shared" si="14"/>
        <v>34182594.793129526</v>
      </c>
      <c r="AM34" s="624">
        <f t="shared" si="14"/>
        <v>34182594.793129526</v>
      </c>
      <c r="AN34" s="625">
        <f t="shared" si="14"/>
        <v>34182594.793129526</v>
      </c>
      <c r="AO34" s="625">
        <f t="shared" si="15"/>
        <v>34182594.793129526</v>
      </c>
      <c r="AP34" s="625">
        <f t="shared" si="16"/>
        <v>34182594.793129526</v>
      </c>
      <c r="AQ34" s="625">
        <f t="shared" si="17"/>
        <v>34182594.793129526</v>
      </c>
      <c r="AR34" s="625">
        <f t="shared" si="18"/>
        <v>34182594.793129526</v>
      </c>
      <c r="AS34" s="625">
        <f t="shared" si="19"/>
        <v>34182594.793129526</v>
      </c>
      <c r="AT34" s="83">
        <f t="shared" si="21"/>
        <v>1350212494.3286159</v>
      </c>
      <c r="AU34" s="339"/>
      <c r="AV34" s="626">
        <f>SUM(AV32:AV33)</f>
        <v>4146174706.4277105</v>
      </c>
      <c r="AW34" s="627" t="s">
        <v>271</v>
      </c>
      <c r="AY34" s="629"/>
      <c r="AZ34" s="310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504">
        <f>SUM(BL27:BL32)</f>
        <v>1478229809.0757155</v>
      </c>
    </row>
    <row r="35" spans="2:64" ht="12" thickBot="1" x14ac:dyDescent="0.25">
      <c r="B35" s="622">
        <v>1985</v>
      </c>
      <c r="C35" s="623"/>
      <c r="D35" s="623"/>
      <c r="E35" s="623"/>
      <c r="F35" s="623"/>
      <c r="G35" s="623">
        <f>+G25/2</f>
        <v>22749992.43815491</v>
      </c>
      <c r="H35" s="623">
        <f>+G25</f>
        <v>45499984.87630982</v>
      </c>
      <c r="I35" s="623">
        <f t="shared" si="12"/>
        <v>45499984.87630982</v>
      </c>
      <c r="J35" s="623">
        <f t="shared" si="12"/>
        <v>45499984.87630982</v>
      </c>
      <c r="K35" s="623">
        <f t="shared" si="12"/>
        <v>45499984.87630982</v>
      </c>
      <c r="L35" s="623">
        <f t="shared" si="12"/>
        <v>45499984.87630982</v>
      </c>
      <c r="M35" s="623">
        <f t="shared" si="12"/>
        <v>45499984.87630982</v>
      </c>
      <c r="N35" s="623">
        <f t="shared" si="12"/>
        <v>45499984.87630982</v>
      </c>
      <c r="O35" s="623">
        <f t="shared" si="12"/>
        <v>45499984.87630982</v>
      </c>
      <c r="P35" s="623">
        <f t="shared" si="12"/>
        <v>45499984.87630982</v>
      </c>
      <c r="Q35" s="623">
        <f t="shared" si="12"/>
        <v>45499984.87630982</v>
      </c>
      <c r="R35" s="623">
        <f t="shared" si="12"/>
        <v>45499984.87630982</v>
      </c>
      <c r="S35" s="623">
        <f t="shared" si="12"/>
        <v>45499984.87630982</v>
      </c>
      <c r="T35" s="623">
        <f t="shared" si="12"/>
        <v>45499984.87630982</v>
      </c>
      <c r="U35" s="623">
        <f t="shared" si="13"/>
        <v>45499984.87630982</v>
      </c>
      <c r="V35" s="623">
        <f t="shared" si="13"/>
        <v>45499984.87630982</v>
      </c>
      <c r="W35" s="623">
        <f t="shared" si="13"/>
        <v>45499984.87630982</v>
      </c>
      <c r="X35" s="623">
        <f t="shared" si="13"/>
        <v>45499984.87630982</v>
      </c>
      <c r="Y35" s="623">
        <f t="shared" si="13"/>
        <v>45499984.87630982</v>
      </c>
      <c r="Z35" s="623">
        <f t="shared" si="13"/>
        <v>45499984.87630982</v>
      </c>
      <c r="AA35" s="623">
        <f t="shared" si="13"/>
        <v>45499984.87630982</v>
      </c>
      <c r="AB35" s="623">
        <f t="shared" si="13"/>
        <v>45499984.87630982</v>
      </c>
      <c r="AC35" s="623">
        <f t="shared" si="13"/>
        <v>45499984.87630982</v>
      </c>
      <c r="AD35" s="623">
        <f t="shared" si="13"/>
        <v>45499984.87630982</v>
      </c>
      <c r="AE35" s="623">
        <f t="shared" si="13"/>
        <v>45499984.87630982</v>
      </c>
      <c r="AF35" s="623">
        <f t="shared" si="13"/>
        <v>45499984.87630982</v>
      </c>
      <c r="AG35" s="623">
        <f t="shared" si="13"/>
        <v>45499984.87630982</v>
      </c>
      <c r="AH35" s="623">
        <f t="shared" si="13"/>
        <v>45499984.87630982</v>
      </c>
      <c r="AI35" s="624">
        <f t="shared" si="13"/>
        <v>45499984.87630982</v>
      </c>
      <c r="AJ35" s="624">
        <f t="shared" si="13"/>
        <v>45499984.87630982</v>
      </c>
      <c r="AK35" s="624">
        <f t="shared" si="14"/>
        <v>45499984.87630982</v>
      </c>
      <c r="AL35" s="624">
        <f t="shared" si="14"/>
        <v>45499984.87630982</v>
      </c>
      <c r="AM35" s="624">
        <f t="shared" si="14"/>
        <v>45499984.87630982</v>
      </c>
      <c r="AN35" s="625">
        <f t="shared" si="14"/>
        <v>45499984.87630982</v>
      </c>
      <c r="AO35" s="625">
        <f t="shared" si="15"/>
        <v>45499984.87630982</v>
      </c>
      <c r="AP35" s="625">
        <f t="shared" si="16"/>
        <v>45499984.87630982</v>
      </c>
      <c r="AQ35" s="625">
        <f t="shared" si="17"/>
        <v>45499984.87630982</v>
      </c>
      <c r="AR35" s="625">
        <f t="shared" si="18"/>
        <v>45499984.87630982</v>
      </c>
      <c r="AS35" s="625">
        <f t="shared" si="19"/>
        <v>45499984.87630982</v>
      </c>
      <c r="AT35" s="83">
        <f t="shared" si="21"/>
        <v>1751749417.7379293</v>
      </c>
      <c r="AU35" s="339"/>
      <c r="AV35" s="630">
        <f>+AV34/1000</f>
        <v>4146174.7064277106</v>
      </c>
      <c r="AW35" s="631" t="s">
        <v>272</v>
      </c>
      <c r="AY35" s="632"/>
      <c r="AZ35" s="633"/>
      <c r="BA35" s="634"/>
      <c r="BB35" s="634"/>
      <c r="BC35" s="634"/>
      <c r="BD35" s="634"/>
      <c r="BE35" s="634"/>
      <c r="BF35" s="633"/>
      <c r="BG35" s="633"/>
      <c r="BH35" s="633"/>
      <c r="BI35" s="633"/>
      <c r="BJ35" s="633"/>
      <c r="BK35" s="633"/>
      <c r="BL35" s="635"/>
    </row>
    <row r="36" spans="2:64" ht="12.75" thickTop="1" thickBot="1" x14ac:dyDescent="0.25">
      <c r="B36" s="622">
        <v>1986</v>
      </c>
      <c r="C36" s="623"/>
      <c r="D36" s="623"/>
      <c r="E36" s="623"/>
      <c r="F36" s="623"/>
      <c r="G36" s="623"/>
      <c r="H36" s="623">
        <f>+H25/2</f>
        <v>21927997.191314682</v>
      </c>
      <c r="I36" s="623">
        <f>+H25</f>
        <v>43855994.382629365</v>
      </c>
      <c r="J36" s="623">
        <f t="shared" si="12"/>
        <v>43855994.382629365</v>
      </c>
      <c r="K36" s="623">
        <f t="shared" si="12"/>
        <v>43855994.382629365</v>
      </c>
      <c r="L36" s="623">
        <f t="shared" si="12"/>
        <v>43855994.382629365</v>
      </c>
      <c r="M36" s="623">
        <f t="shared" si="12"/>
        <v>43855994.382629365</v>
      </c>
      <c r="N36" s="623">
        <f t="shared" si="12"/>
        <v>43855994.382629365</v>
      </c>
      <c r="O36" s="623">
        <f t="shared" si="12"/>
        <v>43855994.382629365</v>
      </c>
      <c r="P36" s="623">
        <f t="shared" si="12"/>
        <v>43855994.382629365</v>
      </c>
      <c r="Q36" s="623">
        <f t="shared" si="12"/>
        <v>43855994.382629365</v>
      </c>
      <c r="R36" s="623">
        <f t="shared" si="12"/>
        <v>43855994.382629365</v>
      </c>
      <c r="S36" s="623">
        <f t="shared" si="12"/>
        <v>43855994.382629365</v>
      </c>
      <c r="T36" s="623">
        <f t="shared" si="12"/>
        <v>43855994.382629365</v>
      </c>
      <c r="U36" s="623">
        <f t="shared" si="13"/>
        <v>43855994.382629365</v>
      </c>
      <c r="V36" s="623">
        <f t="shared" si="13"/>
        <v>43855994.382629365</v>
      </c>
      <c r="W36" s="623">
        <f t="shared" si="13"/>
        <v>43855994.382629365</v>
      </c>
      <c r="X36" s="623">
        <f t="shared" si="13"/>
        <v>43855994.382629365</v>
      </c>
      <c r="Y36" s="623">
        <f t="shared" si="13"/>
        <v>43855994.382629365</v>
      </c>
      <c r="Z36" s="623">
        <f t="shared" si="13"/>
        <v>43855994.382629365</v>
      </c>
      <c r="AA36" s="623">
        <f t="shared" si="13"/>
        <v>43855994.382629365</v>
      </c>
      <c r="AB36" s="623">
        <f t="shared" si="13"/>
        <v>43855994.382629365</v>
      </c>
      <c r="AC36" s="623">
        <f t="shared" si="13"/>
        <v>43855994.382629365</v>
      </c>
      <c r="AD36" s="623">
        <f t="shared" si="13"/>
        <v>43855994.382629365</v>
      </c>
      <c r="AE36" s="623">
        <f t="shared" si="13"/>
        <v>43855994.382629365</v>
      </c>
      <c r="AF36" s="623">
        <f t="shared" si="13"/>
        <v>43855994.382629365</v>
      </c>
      <c r="AG36" s="623">
        <f t="shared" si="13"/>
        <v>43855994.382629365</v>
      </c>
      <c r="AH36" s="623">
        <f t="shared" si="13"/>
        <v>43855994.382629365</v>
      </c>
      <c r="AI36" s="624">
        <f t="shared" si="13"/>
        <v>43855994.382629365</v>
      </c>
      <c r="AJ36" s="624">
        <f t="shared" si="13"/>
        <v>43855994.382629365</v>
      </c>
      <c r="AK36" s="624">
        <f t="shared" si="14"/>
        <v>43855994.382629365</v>
      </c>
      <c r="AL36" s="624">
        <f t="shared" si="14"/>
        <v>43855994.382629365</v>
      </c>
      <c r="AM36" s="624">
        <f t="shared" si="14"/>
        <v>43855994.382629365</v>
      </c>
      <c r="AN36" s="625">
        <f t="shared" si="14"/>
        <v>43855994.382629365</v>
      </c>
      <c r="AO36" s="625">
        <f t="shared" si="15"/>
        <v>43855994.382629365</v>
      </c>
      <c r="AP36" s="625">
        <f t="shared" si="16"/>
        <v>43855994.382629365</v>
      </c>
      <c r="AQ36" s="625">
        <f t="shared" si="17"/>
        <v>43855994.382629365</v>
      </c>
      <c r="AR36" s="625">
        <f t="shared" si="18"/>
        <v>43855994.382629365</v>
      </c>
      <c r="AS36" s="625">
        <f t="shared" si="19"/>
        <v>43855994.382629365</v>
      </c>
      <c r="AT36" s="83">
        <f t="shared" si="21"/>
        <v>1644599789.3486021</v>
      </c>
      <c r="AU36" s="339"/>
      <c r="AV36" s="636"/>
      <c r="AW36" s="637"/>
    </row>
    <row r="37" spans="2:64" ht="12.75" x14ac:dyDescent="0.2">
      <c r="B37" s="622">
        <v>1987</v>
      </c>
      <c r="C37" s="623"/>
      <c r="D37" s="623"/>
      <c r="E37" s="623"/>
      <c r="F37" s="623"/>
      <c r="G37" s="623"/>
      <c r="H37" s="623"/>
      <c r="I37" s="623">
        <f>+I25/2</f>
        <v>20594193.58323431</v>
      </c>
      <c r="J37" s="623">
        <f>+I25</f>
        <v>41188387.16646862</v>
      </c>
      <c r="K37" s="623">
        <f t="shared" si="12"/>
        <v>41188387.16646862</v>
      </c>
      <c r="L37" s="623">
        <f t="shared" si="12"/>
        <v>41188387.16646862</v>
      </c>
      <c r="M37" s="623">
        <f t="shared" si="12"/>
        <v>41188387.16646862</v>
      </c>
      <c r="N37" s="623">
        <f t="shared" si="12"/>
        <v>41188387.16646862</v>
      </c>
      <c r="O37" s="623">
        <f t="shared" si="12"/>
        <v>41188387.16646862</v>
      </c>
      <c r="P37" s="623">
        <f t="shared" si="12"/>
        <v>41188387.16646862</v>
      </c>
      <c r="Q37" s="623">
        <f t="shared" si="12"/>
        <v>41188387.16646862</v>
      </c>
      <c r="R37" s="623">
        <f t="shared" si="12"/>
        <v>41188387.16646862</v>
      </c>
      <c r="S37" s="623">
        <f t="shared" si="12"/>
        <v>41188387.16646862</v>
      </c>
      <c r="T37" s="623">
        <f t="shared" si="12"/>
        <v>41188387.16646862</v>
      </c>
      <c r="U37" s="623">
        <f t="shared" si="13"/>
        <v>41188387.16646862</v>
      </c>
      <c r="V37" s="623">
        <f t="shared" si="13"/>
        <v>41188387.16646862</v>
      </c>
      <c r="W37" s="623">
        <f t="shared" si="13"/>
        <v>41188387.16646862</v>
      </c>
      <c r="X37" s="623">
        <f t="shared" si="13"/>
        <v>41188387.16646862</v>
      </c>
      <c r="Y37" s="623">
        <f t="shared" si="13"/>
        <v>41188387.16646862</v>
      </c>
      <c r="Z37" s="623">
        <f t="shared" si="13"/>
        <v>41188387.16646862</v>
      </c>
      <c r="AA37" s="623">
        <f t="shared" si="13"/>
        <v>41188387.16646862</v>
      </c>
      <c r="AB37" s="623">
        <f t="shared" si="13"/>
        <v>41188387.16646862</v>
      </c>
      <c r="AC37" s="623">
        <f t="shared" si="13"/>
        <v>41188387.16646862</v>
      </c>
      <c r="AD37" s="623">
        <f t="shared" si="13"/>
        <v>41188387.16646862</v>
      </c>
      <c r="AE37" s="623">
        <f t="shared" si="13"/>
        <v>41188387.16646862</v>
      </c>
      <c r="AF37" s="623">
        <f t="shared" si="13"/>
        <v>41188387.16646862</v>
      </c>
      <c r="AG37" s="623">
        <f t="shared" si="13"/>
        <v>41188387.16646862</v>
      </c>
      <c r="AH37" s="623">
        <f t="shared" si="13"/>
        <v>41188387.16646862</v>
      </c>
      <c r="AI37" s="624">
        <f t="shared" si="13"/>
        <v>41188387.16646862</v>
      </c>
      <c r="AJ37" s="624">
        <f t="shared" si="13"/>
        <v>41188387.16646862</v>
      </c>
      <c r="AK37" s="624">
        <f t="shared" si="14"/>
        <v>41188387.16646862</v>
      </c>
      <c r="AL37" s="624">
        <f t="shared" si="14"/>
        <v>41188387.16646862</v>
      </c>
      <c r="AM37" s="624">
        <f t="shared" si="14"/>
        <v>41188387.16646862</v>
      </c>
      <c r="AN37" s="625">
        <f t="shared" si="14"/>
        <v>41188387.16646862</v>
      </c>
      <c r="AO37" s="625">
        <f t="shared" si="15"/>
        <v>41188387.16646862</v>
      </c>
      <c r="AP37" s="625">
        <f t="shared" si="16"/>
        <v>41188387.16646862</v>
      </c>
      <c r="AQ37" s="625">
        <f t="shared" si="17"/>
        <v>41188387.16646862</v>
      </c>
      <c r="AR37" s="625">
        <f t="shared" si="18"/>
        <v>41188387.16646862</v>
      </c>
      <c r="AS37" s="625">
        <f t="shared" si="19"/>
        <v>41188387.16646862</v>
      </c>
      <c r="AT37" s="83">
        <f t="shared" si="21"/>
        <v>1503376131.5761046</v>
      </c>
      <c r="AU37" s="339"/>
      <c r="AV37" s="638" t="s">
        <v>273</v>
      </c>
      <c r="AW37" s="639"/>
      <c r="AY37" s="411"/>
      <c r="AZ37" s="411"/>
      <c r="BA37" s="411"/>
      <c r="BB37" s="411"/>
      <c r="BC37" s="411"/>
      <c r="BD37" s="411"/>
      <c r="BE37" s="411"/>
      <c r="BF37" s="411"/>
      <c r="BG37" s="411"/>
      <c r="BH37" s="411"/>
      <c r="BI37" s="411"/>
      <c r="BJ37" s="411"/>
      <c r="BK37" s="411"/>
      <c r="BL37" s="411"/>
    </row>
    <row r="38" spans="2:64" ht="12.75" x14ac:dyDescent="0.2">
      <c r="B38" s="622">
        <v>1988</v>
      </c>
      <c r="C38" s="623"/>
      <c r="D38" s="623"/>
      <c r="E38" s="623"/>
      <c r="F38" s="623"/>
      <c r="G38" s="623"/>
      <c r="H38" s="623"/>
      <c r="I38" s="623"/>
      <c r="J38" s="623">
        <f>+J25/2</f>
        <v>15885999.783947283</v>
      </c>
      <c r="K38" s="623">
        <f>+J25</f>
        <v>31771999.567894567</v>
      </c>
      <c r="L38" s="623">
        <f t="shared" si="12"/>
        <v>31771999.567894567</v>
      </c>
      <c r="M38" s="623">
        <f t="shared" si="12"/>
        <v>31771999.567894567</v>
      </c>
      <c r="N38" s="623">
        <f t="shared" si="12"/>
        <v>31771999.567894567</v>
      </c>
      <c r="O38" s="623">
        <f t="shared" si="12"/>
        <v>31771999.567894567</v>
      </c>
      <c r="P38" s="623">
        <f t="shared" si="12"/>
        <v>31771999.567894567</v>
      </c>
      <c r="Q38" s="623">
        <f t="shared" si="12"/>
        <v>31771999.567894567</v>
      </c>
      <c r="R38" s="623">
        <f t="shared" si="12"/>
        <v>31771999.567894567</v>
      </c>
      <c r="S38" s="623">
        <f t="shared" si="12"/>
        <v>31771999.567894567</v>
      </c>
      <c r="T38" s="623">
        <f t="shared" si="12"/>
        <v>31771999.567894567</v>
      </c>
      <c r="U38" s="623">
        <f t="shared" si="13"/>
        <v>31771999.567894567</v>
      </c>
      <c r="V38" s="623">
        <f t="shared" si="13"/>
        <v>31771999.567894567</v>
      </c>
      <c r="W38" s="623">
        <f t="shared" si="13"/>
        <v>31771999.567894567</v>
      </c>
      <c r="X38" s="623">
        <f t="shared" si="13"/>
        <v>31771999.567894567</v>
      </c>
      <c r="Y38" s="623">
        <f t="shared" si="13"/>
        <v>31771999.567894567</v>
      </c>
      <c r="Z38" s="623">
        <f t="shared" si="13"/>
        <v>31771999.567894567</v>
      </c>
      <c r="AA38" s="623">
        <f t="shared" si="13"/>
        <v>31771999.567894567</v>
      </c>
      <c r="AB38" s="623">
        <f t="shared" si="13"/>
        <v>31771999.567894567</v>
      </c>
      <c r="AC38" s="623">
        <f t="shared" si="13"/>
        <v>31771999.567894567</v>
      </c>
      <c r="AD38" s="623">
        <f t="shared" si="13"/>
        <v>31771999.567894567</v>
      </c>
      <c r="AE38" s="623">
        <f t="shared" si="13"/>
        <v>31771999.567894567</v>
      </c>
      <c r="AF38" s="623">
        <f t="shared" si="13"/>
        <v>31771999.567894567</v>
      </c>
      <c r="AG38" s="623">
        <f t="shared" si="13"/>
        <v>31771999.567894567</v>
      </c>
      <c r="AH38" s="623">
        <f t="shared" si="13"/>
        <v>31771999.567894567</v>
      </c>
      <c r="AI38" s="624">
        <f t="shared" si="13"/>
        <v>31771999.567894567</v>
      </c>
      <c r="AJ38" s="624">
        <f t="shared" si="13"/>
        <v>31771999.567894567</v>
      </c>
      <c r="AK38" s="624">
        <f t="shared" si="14"/>
        <v>31771999.567894567</v>
      </c>
      <c r="AL38" s="624">
        <f t="shared" si="14"/>
        <v>31771999.567894567</v>
      </c>
      <c r="AM38" s="624">
        <f t="shared" si="14"/>
        <v>31771999.567894567</v>
      </c>
      <c r="AN38" s="625">
        <f t="shared" si="14"/>
        <v>31771999.567894567</v>
      </c>
      <c r="AO38" s="625">
        <f t="shared" si="15"/>
        <v>31771999.567894567</v>
      </c>
      <c r="AP38" s="625">
        <f t="shared" si="16"/>
        <v>31771999.567894567</v>
      </c>
      <c r="AQ38" s="625">
        <f t="shared" si="17"/>
        <v>31771999.567894567</v>
      </c>
      <c r="AR38" s="625">
        <f t="shared" si="18"/>
        <v>31771999.567894567</v>
      </c>
      <c r="AS38" s="625">
        <f t="shared" si="19"/>
        <v>31771999.567894567</v>
      </c>
      <c r="AT38" s="83">
        <f t="shared" si="21"/>
        <v>1127905984.6602573</v>
      </c>
      <c r="AU38" s="339"/>
      <c r="AV38" s="640">
        <f>+AT25-AI25</f>
        <v>3477755259.5244775</v>
      </c>
      <c r="AW38" s="641" t="s">
        <v>274</v>
      </c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</row>
    <row r="39" spans="2:64" ht="12.75" x14ac:dyDescent="0.2">
      <c r="B39" s="622">
        <v>1989</v>
      </c>
      <c r="C39" s="623"/>
      <c r="D39" s="623"/>
      <c r="E39" s="623"/>
      <c r="F39" s="623"/>
      <c r="G39" s="623"/>
      <c r="H39" s="623"/>
      <c r="I39" s="623"/>
      <c r="J39" s="623"/>
      <c r="K39" s="623">
        <f>+K25/2</f>
        <v>12342114.615966296</v>
      </c>
      <c r="L39" s="623">
        <f>+K25</f>
        <v>24684229.231932592</v>
      </c>
      <c r="M39" s="623">
        <f t="shared" si="12"/>
        <v>24684229.231932592</v>
      </c>
      <c r="N39" s="623">
        <f t="shared" si="12"/>
        <v>24684229.231932592</v>
      </c>
      <c r="O39" s="623">
        <f t="shared" si="12"/>
        <v>24684229.231932592</v>
      </c>
      <c r="P39" s="623">
        <f t="shared" si="12"/>
        <v>24684229.231932592</v>
      </c>
      <c r="Q39" s="623">
        <f t="shared" si="12"/>
        <v>24684229.231932592</v>
      </c>
      <c r="R39" s="623">
        <f t="shared" si="12"/>
        <v>24684229.231932592</v>
      </c>
      <c r="S39" s="623">
        <f t="shared" si="12"/>
        <v>24684229.231932592</v>
      </c>
      <c r="T39" s="623">
        <f t="shared" si="12"/>
        <v>24684229.231932592</v>
      </c>
      <c r="U39" s="623">
        <f t="shared" si="13"/>
        <v>24684229.231932592</v>
      </c>
      <c r="V39" s="623">
        <f t="shared" si="13"/>
        <v>24684229.231932592</v>
      </c>
      <c r="W39" s="623">
        <f t="shared" si="13"/>
        <v>24684229.231932592</v>
      </c>
      <c r="X39" s="623">
        <f t="shared" si="13"/>
        <v>24684229.231932592</v>
      </c>
      <c r="Y39" s="623">
        <f t="shared" si="13"/>
        <v>24684229.231932592</v>
      </c>
      <c r="Z39" s="623">
        <f t="shared" si="13"/>
        <v>24684229.231932592</v>
      </c>
      <c r="AA39" s="623">
        <f t="shared" si="13"/>
        <v>24684229.231932592</v>
      </c>
      <c r="AB39" s="623">
        <f t="shared" si="13"/>
        <v>24684229.231932592</v>
      </c>
      <c r="AC39" s="623">
        <f t="shared" si="13"/>
        <v>24684229.231932592</v>
      </c>
      <c r="AD39" s="623">
        <f t="shared" si="13"/>
        <v>24684229.231932592</v>
      </c>
      <c r="AE39" s="623">
        <f t="shared" si="13"/>
        <v>24684229.231932592</v>
      </c>
      <c r="AF39" s="623">
        <f t="shared" si="13"/>
        <v>24684229.231932592</v>
      </c>
      <c r="AG39" s="623">
        <f t="shared" si="13"/>
        <v>24684229.231932592</v>
      </c>
      <c r="AH39" s="623">
        <f t="shared" si="13"/>
        <v>24684229.231932592</v>
      </c>
      <c r="AI39" s="624">
        <f t="shared" si="13"/>
        <v>24684229.231932592</v>
      </c>
      <c r="AJ39" s="624">
        <f t="shared" si="14"/>
        <v>24684229.231932592</v>
      </c>
      <c r="AK39" s="624">
        <f t="shared" si="14"/>
        <v>24684229.231932592</v>
      </c>
      <c r="AL39" s="624">
        <f t="shared" si="14"/>
        <v>24684229.231932592</v>
      </c>
      <c r="AM39" s="624">
        <f t="shared" si="14"/>
        <v>24684229.231932592</v>
      </c>
      <c r="AN39" s="625">
        <f t="shared" si="14"/>
        <v>24684229.231932592</v>
      </c>
      <c r="AO39" s="625">
        <f t="shared" si="15"/>
        <v>24684229.231932592</v>
      </c>
      <c r="AP39" s="625">
        <f t="shared" si="16"/>
        <v>24684229.231932592</v>
      </c>
      <c r="AQ39" s="625">
        <f t="shared" si="17"/>
        <v>24684229.231932592</v>
      </c>
      <c r="AR39" s="625">
        <f t="shared" si="18"/>
        <v>24684229.231932592</v>
      </c>
      <c r="AS39" s="625">
        <f t="shared" si="19"/>
        <v>24684229.231932592</v>
      </c>
      <c r="AT39" s="83">
        <f t="shared" si="21"/>
        <v>851605908.50167489</v>
      </c>
      <c r="AU39" s="339"/>
      <c r="AV39" s="640">
        <v>2769908292.5812941</v>
      </c>
      <c r="AW39" s="641" t="s">
        <v>275</v>
      </c>
      <c r="AY39" s="411"/>
      <c r="BC39" s="411"/>
      <c r="BD39" s="411"/>
      <c r="BE39" s="411"/>
    </row>
    <row r="40" spans="2:64" ht="12.75" x14ac:dyDescent="0.2">
      <c r="B40" s="622">
        <v>1990</v>
      </c>
      <c r="C40" s="623"/>
      <c r="D40" s="623"/>
      <c r="E40" s="623"/>
      <c r="F40" s="623"/>
      <c r="G40" s="623"/>
      <c r="H40" s="623"/>
      <c r="I40" s="623"/>
      <c r="J40" s="623"/>
      <c r="K40" s="623"/>
      <c r="L40" s="623">
        <f>+L25/2</f>
        <v>13750141.514529545</v>
      </c>
      <c r="M40" s="623">
        <f>+L25</f>
        <v>27500283.02905909</v>
      </c>
      <c r="N40" s="623">
        <f t="shared" si="12"/>
        <v>27500283.02905909</v>
      </c>
      <c r="O40" s="623">
        <f t="shared" si="12"/>
        <v>27500283.02905909</v>
      </c>
      <c r="P40" s="623">
        <f t="shared" si="12"/>
        <v>27500283.02905909</v>
      </c>
      <c r="Q40" s="623">
        <f t="shared" si="12"/>
        <v>27500283.02905909</v>
      </c>
      <c r="R40" s="623">
        <f t="shared" si="12"/>
        <v>27500283.02905909</v>
      </c>
      <c r="S40" s="623">
        <f t="shared" si="12"/>
        <v>27500283.02905909</v>
      </c>
      <c r="T40" s="623">
        <f t="shared" si="12"/>
        <v>27500283.02905909</v>
      </c>
      <c r="U40" s="623">
        <f t="shared" si="13"/>
        <v>27500283.02905909</v>
      </c>
      <c r="V40" s="623">
        <f t="shared" si="13"/>
        <v>27500283.02905909</v>
      </c>
      <c r="W40" s="623">
        <f t="shared" si="13"/>
        <v>27500283.02905909</v>
      </c>
      <c r="X40" s="623">
        <f t="shared" si="13"/>
        <v>27500283.02905909</v>
      </c>
      <c r="Y40" s="623">
        <f t="shared" si="13"/>
        <v>27500283.02905909</v>
      </c>
      <c r="Z40" s="623">
        <f t="shared" si="13"/>
        <v>27500283.02905909</v>
      </c>
      <c r="AA40" s="623">
        <f t="shared" si="13"/>
        <v>27500283.02905909</v>
      </c>
      <c r="AB40" s="623">
        <f t="shared" si="13"/>
        <v>27500283.02905909</v>
      </c>
      <c r="AC40" s="623">
        <f t="shared" si="13"/>
        <v>27500283.02905909</v>
      </c>
      <c r="AD40" s="623">
        <f t="shared" si="13"/>
        <v>27500283.02905909</v>
      </c>
      <c r="AE40" s="623">
        <f t="shared" si="13"/>
        <v>27500283.02905909</v>
      </c>
      <c r="AF40" s="623">
        <f t="shared" si="13"/>
        <v>27500283.02905909</v>
      </c>
      <c r="AG40" s="623">
        <f t="shared" si="13"/>
        <v>27500283.02905909</v>
      </c>
      <c r="AH40" s="623">
        <f t="shared" si="13"/>
        <v>27500283.02905909</v>
      </c>
      <c r="AI40" s="624">
        <f t="shared" si="13"/>
        <v>27500283.02905909</v>
      </c>
      <c r="AJ40" s="624">
        <f t="shared" si="14"/>
        <v>27500283.02905909</v>
      </c>
      <c r="AK40" s="624">
        <f t="shared" si="14"/>
        <v>27500283.02905909</v>
      </c>
      <c r="AL40" s="624">
        <f t="shared" si="14"/>
        <v>27500283.02905909</v>
      </c>
      <c r="AM40" s="624">
        <f t="shared" si="14"/>
        <v>27500283.02905909</v>
      </c>
      <c r="AN40" s="625">
        <f t="shared" si="14"/>
        <v>27500283.02905909</v>
      </c>
      <c r="AO40" s="625">
        <f t="shared" si="15"/>
        <v>27500283.02905909</v>
      </c>
      <c r="AP40" s="625">
        <f t="shared" si="16"/>
        <v>27500283.02905909</v>
      </c>
      <c r="AQ40" s="625">
        <f t="shared" si="17"/>
        <v>27500283.02905909</v>
      </c>
      <c r="AR40" s="625">
        <f t="shared" si="18"/>
        <v>27500283.02905909</v>
      </c>
      <c r="AS40" s="625">
        <f t="shared" si="19"/>
        <v>27500283.02905909</v>
      </c>
      <c r="AT40" s="83">
        <f t="shared" si="21"/>
        <v>921259481.47347915</v>
      </c>
      <c r="AU40" s="339"/>
      <c r="AV40" s="640">
        <f>+(BL33-BH33)*-1</f>
        <v>-1093019640.7194679</v>
      </c>
      <c r="AW40" s="641" t="s">
        <v>276</v>
      </c>
      <c r="AY40" s="411"/>
      <c r="BC40" s="411"/>
      <c r="BD40" s="411"/>
      <c r="BE40" s="411"/>
    </row>
    <row r="41" spans="2:64" ht="12.75" x14ac:dyDescent="0.2">
      <c r="B41" s="622">
        <v>1991</v>
      </c>
      <c r="C41" s="623"/>
      <c r="D41" s="623"/>
      <c r="E41" s="623"/>
      <c r="F41" s="623"/>
      <c r="G41" s="623"/>
      <c r="H41" s="623"/>
      <c r="I41" s="623"/>
      <c r="J41" s="623"/>
      <c r="K41" s="623"/>
      <c r="L41" s="642"/>
      <c r="M41" s="623">
        <f>+M25/2</f>
        <v>39007905.368910015</v>
      </c>
      <c r="N41" s="623">
        <f>+M25</f>
        <v>78015810.737820029</v>
      </c>
      <c r="O41" s="623">
        <f t="shared" si="12"/>
        <v>78015810.737820029</v>
      </c>
      <c r="P41" s="623">
        <f t="shared" si="12"/>
        <v>78015810.737820029</v>
      </c>
      <c r="Q41" s="623">
        <f t="shared" si="12"/>
        <v>78015810.737820029</v>
      </c>
      <c r="R41" s="623">
        <f t="shared" si="12"/>
        <v>78015810.737820029</v>
      </c>
      <c r="S41" s="623">
        <f t="shared" si="12"/>
        <v>78015810.737820029</v>
      </c>
      <c r="T41" s="623">
        <f t="shared" si="12"/>
        <v>78015810.737820029</v>
      </c>
      <c r="U41" s="623">
        <f t="shared" si="13"/>
        <v>78015810.737820029</v>
      </c>
      <c r="V41" s="623">
        <f t="shared" si="13"/>
        <v>78015810.737820029</v>
      </c>
      <c r="W41" s="623">
        <f t="shared" si="13"/>
        <v>78015810.737820029</v>
      </c>
      <c r="X41" s="623">
        <f t="shared" si="13"/>
        <v>78015810.737820029</v>
      </c>
      <c r="Y41" s="623">
        <f t="shared" si="13"/>
        <v>78015810.737820029</v>
      </c>
      <c r="Z41" s="623">
        <f t="shared" si="13"/>
        <v>78015810.737820029</v>
      </c>
      <c r="AA41" s="623">
        <f t="shared" si="13"/>
        <v>78015810.737820029</v>
      </c>
      <c r="AB41" s="623">
        <f t="shared" si="13"/>
        <v>78015810.737820029</v>
      </c>
      <c r="AC41" s="623">
        <f t="shared" si="13"/>
        <v>78015810.737820029</v>
      </c>
      <c r="AD41" s="623">
        <f t="shared" si="13"/>
        <v>78015810.737820029</v>
      </c>
      <c r="AE41" s="623">
        <f t="shared" si="13"/>
        <v>78015810.737820029</v>
      </c>
      <c r="AF41" s="623">
        <f t="shared" si="13"/>
        <v>78015810.737820029</v>
      </c>
      <c r="AG41" s="623">
        <f t="shared" si="13"/>
        <v>78015810.737820029</v>
      </c>
      <c r="AH41" s="623">
        <f t="shared" si="13"/>
        <v>78015810.737820029</v>
      </c>
      <c r="AI41" s="624">
        <f t="shared" si="13"/>
        <v>78015810.737820029</v>
      </c>
      <c r="AJ41" s="624">
        <f t="shared" si="14"/>
        <v>78015810.737820029</v>
      </c>
      <c r="AK41" s="624">
        <f t="shared" si="14"/>
        <v>78015810.737820029</v>
      </c>
      <c r="AL41" s="624">
        <f t="shared" si="14"/>
        <v>78015810.737820029</v>
      </c>
      <c r="AM41" s="624">
        <f t="shared" si="14"/>
        <v>78015810.737820029</v>
      </c>
      <c r="AN41" s="625">
        <f t="shared" si="14"/>
        <v>78015810.737820029</v>
      </c>
      <c r="AO41" s="625">
        <f t="shared" si="15"/>
        <v>78015810.737820029</v>
      </c>
      <c r="AP41" s="625">
        <f t="shared" si="16"/>
        <v>78015810.737820029</v>
      </c>
      <c r="AQ41" s="625">
        <f t="shared" si="17"/>
        <v>78015810.737820029</v>
      </c>
      <c r="AR41" s="625">
        <f t="shared" si="18"/>
        <v>78015810.737820029</v>
      </c>
      <c r="AS41" s="625">
        <f t="shared" si="19"/>
        <v>78015810.737820029</v>
      </c>
      <c r="AT41" s="83">
        <f t="shared" si="21"/>
        <v>2535513848.9791532</v>
      </c>
      <c r="AU41" s="339"/>
      <c r="AV41" s="640">
        <v>-984754197.94063687</v>
      </c>
      <c r="AW41" s="641" t="s">
        <v>277</v>
      </c>
      <c r="AY41" s="411"/>
      <c r="AZ41" s="411"/>
      <c r="BA41" s="411"/>
      <c r="BC41" s="411"/>
      <c r="BD41" s="411"/>
      <c r="BE41" s="411"/>
    </row>
    <row r="42" spans="2:64" ht="13.5" thickBot="1" x14ac:dyDescent="0.25">
      <c r="B42" s="622">
        <v>1992</v>
      </c>
      <c r="C42" s="623"/>
      <c r="D42" s="623"/>
      <c r="E42" s="623"/>
      <c r="F42" s="623"/>
      <c r="G42" s="623"/>
      <c r="H42" s="623"/>
      <c r="I42" s="623"/>
      <c r="J42" s="623"/>
      <c r="K42" s="623"/>
      <c r="L42" s="642"/>
      <c r="M42" s="642"/>
      <c r="N42" s="623">
        <f>+N25/2</f>
        <v>31714240.574700225</v>
      </c>
      <c r="O42" s="623">
        <f>+N25</f>
        <v>63428481.14940045</v>
      </c>
      <c r="P42" s="623">
        <f t="shared" si="12"/>
        <v>63428481.14940045</v>
      </c>
      <c r="Q42" s="623">
        <f t="shared" si="12"/>
        <v>63428481.14940045</v>
      </c>
      <c r="R42" s="623">
        <f t="shared" si="12"/>
        <v>63428481.14940045</v>
      </c>
      <c r="S42" s="623">
        <f t="shared" si="12"/>
        <v>63428481.14940045</v>
      </c>
      <c r="T42" s="623">
        <f t="shared" si="12"/>
        <v>63428481.14940045</v>
      </c>
      <c r="U42" s="623">
        <f t="shared" si="13"/>
        <v>63428481.14940045</v>
      </c>
      <c r="V42" s="623">
        <f t="shared" si="13"/>
        <v>63428481.14940045</v>
      </c>
      <c r="W42" s="623">
        <f t="shared" si="13"/>
        <v>63428481.14940045</v>
      </c>
      <c r="X42" s="623">
        <f t="shared" si="13"/>
        <v>63428481.14940045</v>
      </c>
      <c r="Y42" s="623">
        <f t="shared" si="13"/>
        <v>63428481.14940045</v>
      </c>
      <c r="Z42" s="623">
        <f t="shared" si="13"/>
        <v>63428481.14940045</v>
      </c>
      <c r="AA42" s="623">
        <f t="shared" si="13"/>
        <v>63428481.14940045</v>
      </c>
      <c r="AB42" s="623">
        <f t="shared" si="13"/>
        <v>63428481.14940045</v>
      </c>
      <c r="AC42" s="623">
        <f t="shared" si="13"/>
        <v>63428481.14940045</v>
      </c>
      <c r="AD42" s="623">
        <f t="shared" si="13"/>
        <v>63428481.14940045</v>
      </c>
      <c r="AE42" s="623">
        <f t="shared" si="13"/>
        <v>63428481.14940045</v>
      </c>
      <c r="AF42" s="623">
        <f t="shared" si="13"/>
        <v>63428481.14940045</v>
      </c>
      <c r="AG42" s="623">
        <f t="shared" si="13"/>
        <v>63428481.14940045</v>
      </c>
      <c r="AH42" s="623">
        <f t="shared" si="13"/>
        <v>63428481.14940045</v>
      </c>
      <c r="AI42" s="624">
        <f t="shared" si="13"/>
        <v>63428481.14940045</v>
      </c>
      <c r="AJ42" s="624">
        <f t="shared" si="14"/>
        <v>63428481.14940045</v>
      </c>
      <c r="AK42" s="624">
        <f t="shared" si="14"/>
        <v>63428481.14940045</v>
      </c>
      <c r="AL42" s="624">
        <f t="shared" si="14"/>
        <v>63428481.14940045</v>
      </c>
      <c r="AM42" s="624">
        <f t="shared" si="14"/>
        <v>63428481.14940045</v>
      </c>
      <c r="AN42" s="625">
        <f t="shared" si="14"/>
        <v>63428481.14940045</v>
      </c>
      <c r="AO42" s="625">
        <f t="shared" si="15"/>
        <v>63428481.14940045</v>
      </c>
      <c r="AP42" s="625">
        <f t="shared" si="16"/>
        <v>63428481.14940045</v>
      </c>
      <c r="AQ42" s="625">
        <f t="shared" si="17"/>
        <v>63428481.14940045</v>
      </c>
      <c r="AR42" s="625">
        <f t="shared" si="18"/>
        <v>63428481.14940045</v>
      </c>
      <c r="AS42" s="625">
        <f t="shared" si="19"/>
        <v>63428481.14940045</v>
      </c>
      <c r="AT42" s="83">
        <f t="shared" si="21"/>
        <v>1997997156.2061148</v>
      </c>
      <c r="AU42" s="339"/>
      <c r="AV42" s="643">
        <f>SUM(AV38:AV41)/1000</f>
        <v>4169889.7134456672</v>
      </c>
      <c r="AW42" s="644" t="s">
        <v>278</v>
      </c>
      <c r="AY42" s="411"/>
      <c r="AZ42" s="411"/>
      <c r="BA42" s="411"/>
      <c r="BC42" s="411"/>
      <c r="BD42" s="411"/>
      <c r="BE42" s="411"/>
    </row>
    <row r="43" spans="2:64" ht="12.75" x14ac:dyDescent="0.2">
      <c r="B43" s="622">
        <v>1993</v>
      </c>
      <c r="C43" s="623"/>
      <c r="D43" s="623"/>
      <c r="E43" s="623"/>
      <c r="F43" s="623"/>
      <c r="G43" s="623"/>
      <c r="H43" s="623"/>
      <c r="I43" s="623"/>
      <c r="J43" s="623"/>
      <c r="K43" s="623"/>
      <c r="L43" s="642"/>
      <c r="M43" s="642"/>
      <c r="N43" s="642"/>
      <c r="O43" s="623">
        <f>+O25/2</f>
        <v>46673525.440207407</v>
      </c>
      <c r="P43" s="623">
        <f>+O25</f>
        <v>93347050.880414814</v>
      </c>
      <c r="Q43" s="623">
        <f t="shared" si="12"/>
        <v>93347050.880414814</v>
      </c>
      <c r="R43" s="623">
        <f t="shared" si="12"/>
        <v>93347050.880414814</v>
      </c>
      <c r="S43" s="623">
        <f t="shared" si="12"/>
        <v>93347050.880414814</v>
      </c>
      <c r="T43" s="623">
        <f t="shared" si="12"/>
        <v>93347050.880414814</v>
      </c>
      <c r="U43" s="623">
        <f t="shared" si="13"/>
        <v>93347050.880414814</v>
      </c>
      <c r="V43" s="623">
        <f t="shared" si="13"/>
        <v>93347050.880414814</v>
      </c>
      <c r="W43" s="623">
        <f t="shared" si="13"/>
        <v>93347050.880414814</v>
      </c>
      <c r="X43" s="623">
        <f t="shared" si="13"/>
        <v>93347050.880414814</v>
      </c>
      <c r="Y43" s="623">
        <f t="shared" si="13"/>
        <v>93347050.880414814</v>
      </c>
      <c r="Z43" s="623">
        <f t="shared" si="13"/>
        <v>93347050.880414814</v>
      </c>
      <c r="AA43" s="623">
        <f t="shared" si="13"/>
        <v>93347050.880414814</v>
      </c>
      <c r="AB43" s="623">
        <f t="shared" si="13"/>
        <v>93347050.880414814</v>
      </c>
      <c r="AC43" s="623">
        <f t="shared" si="13"/>
        <v>93347050.880414814</v>
      </c>
      <c r="AD43" s="623">
        <f t="shared" si="13"/>
        <v>93347050.880414814</v>
      </c>
      <c r="AE43" s="623">
        <f t="shared" si="13"/>
        <v>93347050.880414814</v>
      </c>
      <c r="AF43" s="623">
        <f t="shared" si="13"/>
        <v>93347050.880414814</v>
      </c>
      <c r="AG43" s="623">
        <f t="shared" si="13"/>
        <v>93347050.880414814</v>
      </c>
      <c r="AH43" s="623">
        <f t="shared" si="13"/>
        <v>93347050.880414814</v>
      </c>
      <c r="AI43" s="624">
        <f t="shared" si="13"/>
        <v>93347050.880414814</v>
      </c>
      <c r="AJ43" s="624">
        <f t="shared" si="14"/>
        <v>93347050.880414814</v>
      </c>
      <c r="AK43" s="624">
        <f t="shared" si="14"/>
        <v>93347050.880414814</v>
      </c>
      <c r="AL43" s="624">
        <f t="shared" si="14"/>
        <v>93347050.880414814</v>
      </c>
      <c r="AM43" s="624">
        <f t="shared" si="14"/>
        <v>93347050.880414814</v>
      </c>
      <c r="AN43" s="625">
        <f t="shared" si="14"/>
        <v>93347050.880414814</v>
      </c>
      <c r="AO43" s="625">
        <f t="shared" si="15"/>
        <v>93347050.880414814</v>
      </c>
      <c r="AP43" s="625">
        <f t="shared" si="16"/>
        <v>93347050.880414814</v>
      </c>
      <c r="AQ43" s="625">
        <f t="shared" si="17"/>
        <v>93347050.880414814</v>
      </c>
      <c r="AR43" s="625">
        <f t="shared" si="18"/>
        <v>93347050.880414814</v>
      </c>
      <c r="AS43" s="625">
        <f t="shared" si="19"/>
        <v>93347050.880414814</v>
      </c>
      <c r="AT43" s="83">
        <f t="shared" si="21"/>
        <v>2847085051.8526521</v>
      </c>
      <c r="AU43" s="339"/>
      <c r="AV43" s="411"/>
      <c r="AW43" s="411"/>
      <c r="AY43" s="411"/>
      <c r="AZ43" s="411"/>
      <c r="BA43" s="411"/>
      <c r="BC43" s="411"/>
    </row>
    <row r="44" spans="2:64" ht="12.75" x14ac:dyDescent="0.2">
      <c r="B44" s="622">
        <v>1994</v>
      </c>
      <c r="C44" s="623"/>
      <c r="D44" s="623"/>
      <c r="E44" s="623"/>
      <c r="F44" s="623"/>
      <c r="G44" s="623"/>
      <c r="H44" s="623"/>
      <c r="I44" s="623"/>
      <c r="J44" s="623"/>
      <c r="K44" s="623"/>
      <c r="L44" s="642"/>
      <c r="M44" s="642"/>
      <c r="N44" s="642"/>
      <c r="O44" s="642"/>
      <c r="P44" s="623">
        <f>+P25/2</f>
        <v>53596053.256994709</v>
      </c>
      <c r="Q44" s="623">
        <f>+P25</f>
        <v>107192106.51398942</v>
      </c>
      <c r="R44" s="623">
        <f t="shared" si="12"/>
        <v>107192106.51398942</v>
      </c>
      <c r="S44" s="623">
        <f t="shared" si="12"/>
        <v>107192106.51398942</v>
      </c>
      <c r="T44" s="623">
        <f t="shared" si="12"/>
        <v>107192106.51398942</v>
      </c>
      <c r="U44" s="623">
        <f t="shared" si="13"/>
        <v>107192106.51398942</v>
      </c>
      <c r="V44" s="623">
        <f t="shared" si="13"/>
        <v>107192106.51398942</v>
      </c>
      <c r="W44" s="623">
        <f t="shared" si="13"/>
        <v>107192106.51398942</v>
      </c>
      <c r="X44" s="623">
        <f t="shared" si="13"/>
        <v>107192106.51398942</v>
      </c>
      <c r="Y44" s="623">
        <f t="shared" si="13"/>
        <v>107192106.51398942</v>
      </c>
      <c r="Z44" s="623">
        <f t="shared" si="13"/>
        <v>107192106.51398942</v>
      </c>
      <c r="AA44" s="623">
        <f t="shared" si="13"/>
        <v>107192106.51398942</v>
      </c>
      <c r="AB44" s="623">
        <f t="shared" si="13"/>
        <v>107192106.51398942</v>
      </c>
      <c r="AC44" s="623">
        <f t="shared" si="13"/>
        <v>107192106.51398942</v>
      </c>
      <c r="AD44" s="623">
        <f t="shared" si="13"/>
        <v>107192106.51398942</v>
      </c>
      <c r="AE44" s="623">
        <f t="shared" si="13"/>
        <v>107192106.51398942</v>
      </c>
      <c r="AF44" s="623">
        <f t="shared" si="13"/>
        <v>107192106.51398942</v>
      </c>
      <c r="AG44" s="623">
        <f t="shared" si="13"/>
        <v>107192106.51398942</v>
      </c>
      <c r="AH44" s="623">
        <f t="shared" si="13"/>
        <v>107192106.51398942</v>
      </c>
      <c r="AI44" s="624">
        <f t="shared" si="13"/>
        <v>107192106.51398942</v>
      </c>
      <c r="AJ44" s="624">
        <f t="shared" si="14"/>
        <v>107192106.51398942</v>
      </c>
      <c r="AK44" s="624">
        <f t="shared" si="14"/>
        <v>107192106.51398942</v>
      </c>
      <c r="AL44" s="624">
        <f t="shared" si="14"/>
        <v>107192106.51398942</v>
      </c>
      <c r="AM44" s="624">
        <f t="shared" si="14"/>
        <v>107192106.51398942</v>
      </c>
      <c r="AN44" s="625">
        <f t="shared" si="14"/>
        <v>107192106.51398942</v>
      </c>
      <c r="AO44" s="625">
        <f t="shared" si="15"/>
        <v>107192106.51398942</v>
      </c>
      <c r="AP44" s="625">
        <f t="shared" si="16"/>
        <v>107192106.51398942</v>
      </c>
      <c r="AQ44" s="625">
        <f t="shared" si="17"/>
        <v>107192106.51398942</v>
      </c>
      <c r="AR44" s="625">
        <f t="shared" si="18"/>
        <v>107192106.51398942</v>
      </c>
      <c r="AS44" s="625">
        <f t="shared" si="19"/>
        <v>107192106.51398942</v>
      </c>
      <c r="AT44" s="83">
        <f t="shared" si="21"/>
        <v>3162167142.1626883</v>
      </c>
      <c r="AU44" s="339"/>
      <c r="AV44" s="411"/>
      <c r="AW44" s="411"/>
      <c r="AY44" s="411"/>
      <c r="AZ44" s="411"/>
      <c r="BA44" s="411"/>
    </row>
    <row r="45" spans="2:64" ht="12.75" x14ac:dyDescent="0.2">
      <c r="B45" s="622">
        <v>1995</v>
      </c>
      <c r="C45" s="623"/>
      <c r="D45" s="623"/>
      <c r="E45" s="623"/>
      <c r="F45" s="623"/>
      <c r="G45" s="623"/>
      <c r="H45" s="623"/>
      <c r="I45" s="623"/>
      <c r="J45" s="623"/>
      <c r="K45" s="623"/>
      <c r="L45" s="642"/>
      <c r="M45" s="642"/>
      <c r="N45" s="642"/>
      <c r="O45" s="642"/>
      <c r="P45" s="642"/>
      <c r="Q45" s="623">
        <f>+Q25/2</f>
        <v>58045160.5</v>
      </c>
      <c r="R45" s="623">
        <f>+Q25</f>
        <v>116090321</v>
      </c>
      <c r="S45" s="623">
        <f>+R45</f>
        <v>116090321</v>
      </c>
      <c r="T45" s="623">
        <f>+S45</f>
        <v>116090321</v>
      </c>
      <c r="U45" s="623">
        <f>+T45</f>
        <v>116090321</v>
      </c>
      <c r="V45" s="623">
        <f>+U45</f>
        <v>116090321</v>
      </c>
      <c r="W45" s="623">
        <f>+V45</f>
        <v>116090321</v>
      </c>
      <c r="X45" s="623">
        <f t="shared" si="13"/>
        <v>116090321</v>
      </c>
      <c r="Y45" s="623">
        <f t="shared" si="13"/>
        <v>116090321</v>
      </c>
      <c r="Z45" s="623">
        <f t="shared" si="13"/>
        <v>116090321</v>
      </c>
      <c r="AA45" s="623">
        <f t="shared" si="13"/>
        <v>116090321</v>
      </c>
      <c r="AB45" s="623">
        <f t="shared" si="13"/>
        <v>116090321</v>
      </c>
      <c r="AC45" s="623">
        <f t="shared" si="13"/>
        <v>116090321</v>
      </c>
      <c r="AD45" s="623">
        <f t="shared" si="13"/>
        <v>116090321</v>
      </c>
      <c r="AE45" s="623">
        <f t="shared" si="13"/>
        <v>116090321</v>
      </c>
      <c r="AF45" s="623">
        <f t="shared" si="13"/>
        <v>116090321</v>
      </c>
      <c r="AG45" s="623">
        <f t="shared" si="13"/>
        <v>116090321</v>
      </c>
      <c r="AH45" s="623">
        <f t="shared" si="13"/>
        <v>116090321</v>
      </c>
      <c r="AI45" s="624">
        <f t="shared" si="13"/>
        <v>116090321</v>
      </c>
      <c r="AJ45" s="624">
        <f t="shared" si="14"/>
        <v>116090321</v>
      </c>
      <c r="AK45" s="624">
        <f t="shared" si="14"/>
        <v>116090321</v>
      </c>
      <c r="AL45" s="624">
        <f t="shared" si="14"/>
        <v>116090321</v>
      </c>
      <c r="AM45" s="624">
        <f t="shared" si="14"/>
        <v>116090321</v>
      </c>
      <c r="AN45" s="625">
        <f t="shared" si="14"/>
        <v>116090321</v>
      </c>
      <c r="AO45" s="625">
        <f t="shared" si="15"/>
        <v>116090321</v>
      </c>
      <c r="AP45" s="625">
        <f t="shared" si="16"/>
        <v>116090321</v>
      </c>
      <c r="AQ45" s="625">
        <f t="shared" si="17"/>
        <v>116090321</v>
      </c>
      <c r="AR45" s="625">
        <f t="shared" si="18"/>
        <v>116090321</v>
      </c>
      <c r="AS45" s="625">
        <f t="shared" si="19"/>
        <v>116090321</v>
      </c>
      <c r="AT45" s="83">
        <f t="shared" si="21"/>
        <v>3308574148.5</v>
      </c>
      <c r="AU45" s="339"/>
      <c r="AV45" s="411"/>
      <c r="AW45" s="411"/>
      <c r="AY45" s="411"/>
      <c r="AZ45" s="411"/>
      <c r="BA45" s="411"/>
    </row>
    <row r="46" spans="2:64" ht="12.75" x14ac:dyDescent="0.2">
      <c r="B46" s="622">
        <v>1996</v>
      </c>
      <c r="C46" s="623"/>
      <c r="D46" s="623"/>
      <c r="E46" s="623"/>
      <c r="F46" s="623"/>
      <c r="G46" s="623"/>
      <c r="H46" s="623"/>
      <c r="I46" s="623"/>
      <c r="J46" s="623"/>
      <c r="K46" s="623"/>
      <c r="L46" s="642"/>
      <c r="M46" s="642"/>
      <c r="N46" s="642"/>
      <c r="O46" s="642"/>
      <c r="P46" s="642"/>
      <c r="Q46" s="642"/>
      <c r="R46" s="623">
        <f>+R25/2</f>
        <v>97292142.287803829</v>
      </c>
      <c r="S46" s="623">
        <f>+R25</f>
        <v>194584284.57560766</v>
      </c>
      <c r="T46" s="623">
        <f>+S46</f>
        <v>194584284.57560766</v>
      </c>
      <c r="U46" s="623">
        <f>+T46</f>
        <v>194584284.57560766</v>
      </c>
      <c r="V46" s="623">
        <f>+U46</f>
        <v>194584284.57560766</v>
      </c>
      <c r="W46" s="623">
        <f>+V46</f>
        <v>194584284.57560766</v>
      </c>
      <c r="X46" s="623">
        <f t="shared" si="13"/>
        <v>194584284.57560766</v>
      </c>
      <c r="Y46" s="623">
        <f t="shared" si="13"/>
        <v>194584284.57560766</v>
      </c>
      <c r="Z46" s="623">
        <f t="shared" si="13"/>
        <v>194584284.57560766</v>
      </c>
      <c r="AA46" s="623">
        <f t="shared" si="13"/>
        <v>194584284.57560766</v>
      </c>
      <c r="AB46" s="623">
        <f t="shared" si="13"/>
        <v>194584284.57560766</v>
      </c>
      <c r="AC46" s="623">
        <f t="shared" si="13"/>
        <v>194584284.57560766</v>
      </c>
      <c r="AD46" s="623">
        <f t="shared" si="13"/>
        <v>194584284.57560766</v>
      </c>
      <c r="AE46" s="623">
        <f t="shared" si="13"/>
        <v>194584284.57560766</v>
      </c>
      <c r="AF46" s="623">
        <f t="shared" si="13"/>
        <v>194584284.57560766</v>
      </c>
      <c r="AG46" s="623">
        <f t="shared" si="13"/>
        <v>194584284.57560766</v>
      </c>
      <c r="AH46" s="623">
        <f t="shared" si="13"/>
        <v>194584284.57560766</v>
      </c>
      <c r="AI46" s="624">
        <f t="shared" si="13"/>
        <v>194584284.57560766</v>
      </c>
      <c r="AJ46" s="624">
        <f t="shared" si="14"/>
        <v>194584284.57560766</v>
      </c>
      <c r="AK46" s="624">
        <f t="shared" si="14"/>
        <v>194584284.57560766</v>
      </c>
      <c r="AL46" s="624">
        <f t="shared" si="14"/>
        <v>194584284.57560766</v>
      </c>
      <c r="AM46" s="624">
        <f t="shared" si="14"/>
        <v>194584284.57560766</v>
      </c>
      <c r="AN46" s="625">
        <f t="shared" si="14"/>
        <v>194584284.57560766</v>
      </c>
      <c r="AO46" s="625">
        <f t="shared" si="15"/>
        <v>194584284.57560766</v>
      </c>
      <c r="AP46" s="625">
        <f t="shared" si="16"/>
        <v>194584284.57560766</v>
      </c>
      <c r="AQ46" s="625">
        <f t="shared" si="17"/>
        <v>194584284.57560766</v>
      </c>
      <c r="AR46" s="625">
        <f t="shared" si="18"/>
        <v>194584284.57560766</v>
      </c>
      <c r="AS46" s="625">
        <f t="shared" si="19"/>
        <v>194584284.57560766</v>
      </c>
      <c r="AT46" s="83">
        <f t="shared" si="21"/>
        <v>5351067825.8292103</v>
      </c>
      <c r="AU46" s="339"/>
      <c r="AV46" s="411"/>
      <c r="AW46" s="411"/>
      <c r="AY46" s="411"/>
      <c r="AZ46" s="411"/>
      <c r="BA46" s="411"/>
    </row>
    <row r="47" spans="2:64" ht="12.75" x14ac:dyDescent="0.2">
      <c r="B47" s="622">
        <v>1997</v>
      </c>
      <c r="C47" s="623"/>
      <c r="D47" s="623"/>
      <c r="E47" s="623"/>
      <c r="F47" s="623"/>
      <c r="G47" s="623"/>
      <c r="H47" s="623"/>
      <c r="I47" s="623"/>
      <c r="J47" s="623"/>
      <c r="K47" s="623"/>
      <c r="L47" s="642"/>
      <c r="M47" s="642"/>
      <c r="N47" s="642"/>
      <c r="O47" s="642"/>
      <c r="P47" s="642"/>
      <c r="Q47" s="642"/>
      <c r="R47" s="642"/>
      <c r="S47" s="623">
        <f>+S25/2</f>
        <v>120892927</v>
      </c>
      <c r="T47" s="623">
        <f>+S25</f>
        <v>241785854</v>
      </c>
      <c r="U47" s="623">
        <f>+T47</f>
        <v>241785854</v>
      </c>
      <c r="V47" s="623">
        <f>+U47</f>
        <v>241785854</v>
      </c>
      <c r="W47" s="623">
        <f>+V47</f>
        <v>241785854</v>
      </c>
      <c r="X47" s="623">
        <f t="shared" ref="X47:AM61" si="23">+W47</f>
        <v>241785854</v>
      </c>
      <c r="Y47" s="623">
        <f t="shared" si="23"/>
        <v>241785854</v>
      </c>
      <c r="Z47" s="623">
        <f t="shared" si="23"/>
        <v>241785854</v>
      </c>
      <c r="AA47" s="623">
        <f t="shared" si="23"/>
        <v>241785854</v>
      </c>
      <c r="AB47" s="623">
        <f t="shared" si="23"/>
        <v>241785854</v>
      </c>
      <c r="AC47" s="623">
        <f t="shared" si="23"/>
        <v>241785854</v>
      </c>
      <c r="AD47" s="623">
        <f t="shared" si="23"/>
        <v>241785854</v>
      </c>
      <c r="AE47" s="623">
        <f t="shared" si="23"/>
        <v>241785854</v>
      </c>
      <c r="AF47" s="623">
        <f t="shared" si="23"/>
        <v>241785854</v>
      </c>
      <c r="AG47" s="623">
        <f t="shared" si="23"/>
        <v>241785854</v>
      </c>
      <c r="AH47" s="623">
        <f t="shared" si="23"/>
        <v>241785854</v>
      </c>
      <c r="AI47" s="624">
        <f t="shared" si="23"/>
        <v>241785854</v>
      </c>
      <c r="AJ47" s="624">
        <f t="shared" si="23"/>
        <v>241785854</v>
      </c>
      <c r="AK47" s="624">
        <f t="shared" si="23"/>
        <v>241785854</v>
      </c>
      <c r="AL47" s="624">
        <f t="shared" si="23"/>
        <v>241785854</v>
      </c>
      <c r="AM47" s="624">
        <f t="shared" si="23"/>
        <v>241785854</v>
      </c>
      <c r="AN47" s="625">
        <f t="shared" ref="AJ47:AN62" si="24">+AM47</f>
        <v>241785854</v>
      </c>
      <c r="AO47" s="625">
        <f t="shared" si="15"/>
        <v>241785854</v>
      </c>
      <c r="AP47" s="625">
        <f t="shared" si="16"/>
        <v>241785854</v>
      </c>
      <c r="AQ47" s="625">
        <f t="shared" si="17"/>
        <v>241785854</v>
      </c>
      <c r="AR47" s="625">
        <f t="shared" si="18"/>
        <v>241785854</v>
      </c>
      <c r="AS47" s="625">
        <f t="shared" si="19"/>
        <v>241785854</v>
      </c>
      <c r="AT47" s="83">
        <f t="shared" si="21"/>
        <v>6407325131</v>
      </c>
      <c r="AU47" s="339"/>
      <c r="AV47" s="411"/>
      <c r="AW47" s="411"/>
    </row>
    <row r="48" spans="2:64" x14ac:dyDescent="0.2">
      <c r="B48" s="622">
        <v>1998</v>
      </c>
      <c r="C48" s="623"/>
      <c r="D48" s="623"/>
      <c r="E48" s="623"/>
      <c r="F48" s="623"/>
      <c r="G48" s="623"/>
      <c r="H48" s="623"/>
      <c r="I48" s="623"/>
      <c r="J48" s="623"/>
      <c r="K48" s="623"/>
      <c r="L48" s="642"/>
      <c r="M48" s="642"/>
      <c r="N48" s="642"/>
      <c r="O48" s="642"/>
      <c r="P48" s="642"/>
      <c r="Q48" s="642"/>
      <c r="R48" s="642"/>
      <c r="S48" s="642"/>
      <c r="T48" s="623">
        <f>+T25/2</f>
        <v>80548744.5</v>
      </c>
      <c r="U48" s="623">
        <f>+T25</f>
        <v>161097489</v>
      </c>
      <c r="V48" s="623">
        <f>+U48</f>
        <v>161097489</v>
      </c>
      <c r="W48" s="623">
        <f>+V48</f>
        <v>161097489</v>
      </c>
      <c r="X48" s="623">
        <f t="shared" si="23"/>
        <v>161097489</v>
      </c>
      <c r="Y48" s="623">
        <f t="shared" si="23"/>
        <v>161097489</v>
      </c>
      <c r="Z48" s="623">
        <f t="shared" si="23"/>
        <v>161097489</v>
      </c>
      <c r="AA48" s="623">
        <f t="shared" si="23"/>
        <v>161097489</v>
      </c>
      <c r="AB48" s="623">
        <f t="shared" si="23"/>
        <v>161097489</v>
      </c>
      <c r="AC48" s="623">
        <f t="shared" si="23"/>
        <v>161097489</v>
      </c>
      <c r="AD48" s="623">
        <f t="shared" si="23"/>
        <v>161097489</v>
      </c>
      <c r="AE48" s="623">
        <f t="shared" si="23"/>
        <v>161097489</v>
      </c>
      <c r="AF48" s="623">
        <f t="shared" si="23"/>
        <v>161097489</v>
      </c>
      <c r="AG48" s="623">
        <f t="shared" si="23"/>
        <v>161097489</v>
      </c>
      <c r="AH48" s="623">
        <f t="shared" si="23"/>
        <v>161097489</v>
      </c>
      <c r="AI48" s="624">
        <f t="shared" si="23"/>
        <v>161097489</v>
      </c>
      <c r="AJ48" s="624">
        <f t="shared" si="24"/>
        <v>161097489</v>
      </c>
      <c r="AK48" s="624">
        <f t="shared" si="24"/>
        <v>161097489</v>
      </c>
      <c r="AL48" s="624">
        <f t="shared" si="24"/>
        <v>161097489</v>
      </c>
      <c r="AM48" s="624">
        <f t="shared" si="24"/>
        <v>161097489</v>
      </c>
      <c r="AN48" s="625">
        <f t="shared" si="24"/>
        <v>161097489</v>
      </c>
      <c r="AO48" s="625">
        <f t="shared" si="15"/>
        <v>161097489</v>
      </c>
      <c r="AP48" s="625">
        <f t="shared" si="16"/>
        <v>161097489</v>
      </c>
      <c r="AQ48" s="625">
        <f t="shared" si="17"/>
        <v>161097489</v>
      </c>
      <c r="AR48" s="625">
        <f t="shared" si="18"/>
        <v>161097489</v>
      </c>
      <c r="AS48" s="625">
        <f t="shared" si="19"/>
        <v>161097489</v>
      </c>
      <c r="AT48" s="83">
        <f t="shared" si="21"/>
        <v>4107985969.5</v>
      </c>
      <c r="AU48" s="339"/>
    </row>
    <row r="49" spans="2:48" x14ac:dyDescent="0.2">
      <c r="B49" s="622">
        <v>1999</v>
      </c>
      <c r="C49" s="623"/>
      <c r="D49" s="623"/>
      <c r="E49" s="623"/>
      <c r="F49" s="623"/>
      <c r="G49" s="623"/>
      <c r="H49" s="623"/>
      <c r="I49" s="623"/>
      <c r="J49" s="623"/>
      <c r="K49" s="623"/>
      <c r="L49" s="642"/>
      <c r="M49" s="642"/>
      <c r="N49" s="642"/>
      <c r="O49" s="642"/>
      <c r="P49" s="642"/>
      <c r="Q49" s="642"/>
      <c r="R49" s="642"/>
      <c r="S49" s="642"/>
      <c r="T49" s="642"/>
      <c r="U49" s="623">
        <f>+U25/2</f>
        <v>83748595</v>
      </c>
      <c r="V49" s="623">
        <f>+U25</f>
        <v>167497190</v>
      </c>
      <c r="W49" s="623">
        <f>+V49</f>
        <v>167497190</v>
      </c>
      <c r="X49" s="623">
        <f t="shared" si="23"/>
        <v>167497190</v>
      </c>
      <c r="Y49" s="623">
        <f t="shared" si="23"/>
        <v>167497190</v>
      </c>
      <c r="Z49" s="623">
        <f t="shared" si="23"/>
        <v>167497190</v>
      </c>
      <c r="AA49" s="623">
        <f t="shared" si="23"/>
        <v>167497190</v>
      </c>
      <c r="AB49" s="623">
        <f t="shared" si="23"/>
        <v>167497190</v>
      </c>
      <c r="AC49" s="623">
        <f t="shared" si="23"/>
        <v>167497190</v>
      </c>
      <c r="AD49" s="623">
        <f t="shared" si="23"/>
        <v>167497190</v>
      </c>
      <c r="AE49" s="623">
        <f t="shared" si="23"/>
        <v>167497190</v>
      </c>
      <c r="AF49" s="623">
        <f t="shared" si="23"/>
        <v>167497190</v>
      </c>
      <c r="AG49" s="623">
        <f t="shared" si="23"/>
        <v>167497190</v>
      </c>
      <c r="AH49" s="623">
        <f t="shared" si="23"/>
        <v>167497190</v>
      </c>
      <c r="AI49" s="624">
        <f t="shared" si="23"/>
        <v>167497190</v>
      </c>
      <c r="AJ49" s="624">
        <f t="shared" si="24"/>
        <v>167497190</v>
      </c>
      <c r="AK49" s="624">
        <f t="shared" si="24"/>
        <v>167497190</v>
      </c>
      <c r="AL49" s="624">
        <f t="shared" si="24"/>
        <v>167497190</v>
      </c>
      <c r="AM49" s="624">
        <f t="shared" si="24"/>
        <v>167497190</v>
      </c>
      <c r="AN49" s="625">
        <f t="shared" si="24"/>
        <v>167497190</v>
      </c>
      <c r="AO49" s="625">
        <f t="shared" si="15"/>
        <v>167497190</v>
      </c>
      <c r="AP49" s="625">
        <f t="shared" si="16"/>
        <v>167497190</v>
      </c>
      <c r="AQ49" s="625">
        <f t="shared" si="17"/>
        <v>167497190</v>
      </c>
      <c r="AR49" s="625">
        <f t="shared" si="18"/>
        <v>167497190</v>
      </c>
      <c r="AS49" s="625">
        <f t="shared" si="19"/>
        <v>167497190</v>
      </c>
      <c r="AT49" s="83">
        <f t="shared" si="21"/>
        <v>4103681155</v>
      </c>
      <c r="AU49" s="339"/>
    </row>
    <row r="50" spans="2:48" x14ac:dyDescent="0.2">
      <c r="B50" s="622">
        <v>2000</v>
      </c>
      <c r="C50" s="623"/>
      <c r="D50" s="623"/>
      <c r="E50" s="623"/>
      <c r="F50" s="623"/>
      <c r="G50" s="623"/>
      <c r="H50" s="623"/>
      <c r="I50" s="623"/>
      <c r="J50" s="623"/>
      <c r="K50" s="623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V50" s="623">
        <f>+V25/2</f>
        <v>65947706</v>
      </c>
      <c r="W50" s="623">
        <f>+V25</f>
        <v>131895412</v>
      </c>
      <c r="X50" s="623">
        <f t="shared" si="23"/>
        <v>131895412</v>
      </c>
      <c r="Y50" s="623">
        <f t="shared" si="23"/>
        <v>131895412</v>
      </c>
      <c r="Z50" s="623">
        <f t="shared" si="23"/>
        <v>131895412</v>
      </c>
      <c r="AA50" s="623">
        <f t="shared" si="23"/>
        <v>131895412</v>
      </c>
      <c r="AB50" s="623">
        <f t="shared" si="23"/>
        <v>131895412</v>
      </c>
      <c r="AC50" s="623">
        <f t="shared" si="23"/>
        <v>131895412</v>
      </c>
      <c r="AD50" s="623">
        <f t="shared" si="23"/>
        <v>131895412</v>
      </c>
      <c r="AE50" s="623">
        <f t="shared" si="23"/>
        <v>131895412</v>
      </c>
      <c r="AF50" s="623">
        <f t="shared" si="23"/>
        <v>131895412</v>
      </c>
      <c r="AG50" s="623">
        <f t="shared" si="23"/>
        <v>131895412</v>
      </c>
      <c r="AH50" s="623">
        <f t="shared" si="23"/>
        <v>131895412</v>
      </c>
      <c r="AI50" s="624">
        <f t="shared" si="23"/>
        <v>131895412</v>
      </c>
      <c r="AJ50" s="624">
        <f t="shared" si="24"/>
        <v>131895412</v>
      </c>
      <c r="AK50" s="624">
        <f t="shared" si="24"/>
        <v>131895412</v>
      </c>
      <c r="AL50" s="624">
        <f t="shared" si="24"/>
        <v>131895412</v>
      </c>
      <c r="AM50" s="624">
        <f t="shared" si="24"/>
        <v>131895412</v>
      </c>
      <c r="AN50" s="625">
        <f t="shared" si="24"/>
        <v>131895412</v>
      </c>
      <c r="AO50" s="625">
        <f t="shared" si="15"/>
        <v>131895412</v>
      </c>
      <c r="AP50" s="625">
        <f t="shared" si="16"/>
        <v>131895412</v>
      </c>
      <c r="AQ50" s="625">
        <f t="shared" si="17"/>
        <v>131895412</v>
      </c>
      <c r="AR50" s="625">
        <f t="shared" si="18"/>
        <v>131895412</v>
      </c>
      <c r="AS50" s="625">
        <f t="shared" si="19"/>
        <v>131895412</v>
      </c>
      <c r="AT50" s="83">
        <f t="shared" si="21"/>
        <v>3099542182</v>
      </c>
      <c r="AU50" s="339"/>
    </row>
    <row r="51" spans="2:48" x14ac:dyDescent="0.2">
      <c r="B51" s="622">
        <v>2001</v>
      </c>
      <c r="C51" s="623"/>
      <c r="D51" s="623"/>
      <c r="E51" s="623"/>
      <c r="F51" s="623"/>
      <c r="G51" s="623"/>
      <c r="H51" s="623"/>
      <c r="I51" s="623"/>
      <c r="J51" s="623"/>
      <c r="K51" s="623"/>
      <c r="L51" s="642"/>
      <c r="M51" s="642"/>
      <c r="N51" s="642"/>
      <c r="O51" s="642"/>
      <c r="P51" s="642"/>
      <c r="Q51" s="642"/>
      <c r="R51" s="642"/>
      <c r="S51" s="642"/>
      <c r="T51" s="642"/>
      <c r="U51" s="642"/>
      <c r="V51" s="642"/>
      <c r="W51" s="623">
        <f>+W25/2</f>
        <v>57796152</v>
      </c>
      <c r="X51" s="623">
        <f>+W25</f>
        <v>115592304</v>
      </c>
      <c r="Y51" s="623">
        <f>+X51</f>
        <v>115592304</v>
      </c>
      <c r="Z51" s="623">
        <f>+Y51</f>
        <v>115592304</v>
      </c>
      <c r="AA51" s="623">
        <f>+Z51</f>
        <v>115592304</v>
      </c>
      <c r="AB51" s="623">
        <f>+AA51</f>
        <v>115592304</v>
      </c>
      <c r="AC51" s="623">
        <f t="shared" si="23"/>
        <v>115592304</v>
      </c>
      <c r="AD51" s="623">
        <f t="shared" si="23"/>
        <v>115592304</v>
      </c>
      <c r="AE51" s="623">
        <f t="shared" si="23"/>
        <v>115592304</v>
      </c>
      <c r="AF51" s="623">
        <f t="shared" si="23"/>
        <v>115592304</v>
      </c>
      <c r="AG51" s="623">
        <f t="shared" si="23"/>
        <v>115592304</v>
      </c>
      <c r="AH51" s="623">
        <f t="shared" si="23"/>
        <v>115592304</v>
      </c>
      <c r="AI51" s="624">
        <f t="shared" si="23"/>
        <v>115592304</v>
      </c>
      <c r="AJ51" s="624">
        <f t="shared" si="24"/>
        <v>115592304</v>
      </c>
      <c r="AK51" s="624">
        <f t="shared" si="24"/>
        <v>115592304</v>
      </c>
      <c r="AL51" s="624">
        <f t="shared" si="24"/>
        <v>115592304</v>
      </c>
      <c r="AM51" s="624">
        <f t="shared" si="24"/>
        <v>115592304</v>
      </c>
      <c r="AN51" s="625">
        <f t="shared" si="24"/>
        <v>115592304</v>
      </c>
      <c r="AO51" s="625">
        <f t="shared" si="15"/>
        <v>115592304</v>
      </c>
      <c r="AP51" s="625">
        <f t="shared" si="16"/>
        <v>115592304</v>
      </c>
      <c r="AQ51" s="625">
        <f t="shared" si="17"/>
        <v>115592304</v>
      </c>
      <c r="AR51" s="625">
        <f t="shared" si="18"/>
        <v>115592304</v>
      </c>
      <c r="AS51" s="625">
        <f t="shared" si="19"/>
        <v>115592304</v>
      </c>
      <c r="AT51" s="83">
        <f t="shared" si="21"/>
        <v>2600826840</v>
      </c>
      <c r="AU51" s="339"/>
    </row>
    <row r="52" spans="2:48" x14ac:dyDescent="0.2">
      <c r="B52" s="622">
        <v>2002</v>
      </c>
      <c r="C52" s="623"/>
      <c r="D52" s="623"/>
      <c r="E52" s="623"/>
      <c r="F52" s="623"/>
      <c r="G52" s="623"/>
      <c r="H52" s="623"/>
      <c r="I52" s="623"/>
      <c r="J52" s="623"/>
      <c r="K52" s="623"/>
      <c r="L52" s="642"/>
      <c r="M52" s="642"/>
      <c r="N52" s="642"/>
      <c r="O52" s="642"/>
      <c r="P52" s="642"/>
      <c r="Q52" s="642"/>
      <c r="R52" s="642"/>
      <c r="S52" s="642"/>
      <c r="T52" s="642"/>
      <c r="U52" s="642"/>
      <c r="V52" s="642"/>
      <c r="W52" s="642"/>
      <c r="X52" s="623">
        <f>+X25/2</f>
        <v>63690370</v>
      </c>
      <c r="Y52" s="623">
        <f>+X25</f>
        <v>127380740</v>
      </c>
      <c r="Z52" s="623">
        <f>+Y52</f>
        <v>127380740</v>
      </c>
      <c r="AA52" s="623">
        <f>+Z52</f>
        <v>127380740</v>
      </c>
      <c r="AB52" s="623">
        <f>+AA52</f>
        <v>127380740</v>
      </c>
      <c r="AC52" s="623">
        <f t="shared" si="23"/>
        <v>127380740</v>
      </c>
      <c r="AD52" s="623">
        <f t="shared" si="23"/>
        <v>127380740</v>
      </c>
      <c r="AE52" s="623">
        <f t="shared" si="23"/>
        <v>127380740</v>
      </c>
      <c r="AF52" s="623">
        <f t="shared" si="23"/>
        <v>127380740</v>
      </c>
      <c r="AG52" s="623">
        <f t="shared" si="23"/>
        <v>127380740</v>
      </c>
      <c r="AH52" s="623">
        <f t="shared" si="23"/>
        <v>127380740</v>
      </c>
      <c r="AI52" s="624">
        <f t="shared" si="23"/>
        <v>127380740</v>
      </c>
      <c r="AJ52" s="624">
        <f t="shared" si="24"/>
        <v>127380740</v>
      </c>
      <c r="AK52" s="624">
        <f t="shared" si="24"/>
        <v>127380740</v>
      </c>
      <c r="AL52" s="624">
        <f t="shared" si="24"/>
        <v>127380740</v>
      </c>
      <c r="AM52" s="624">
        <f t="shared" si="24"/>
        <v>127380740</v>
      </c>
      <c r="AN52" s="625">
        <f t="shared" si="24"/>
        <v>127380740</v>
      </c>
      <c r="AO52" s="625">
        <f t="shared" si="15"/>
        <v>127380740</v>
      </c>
      <c r="AP52" s="625">
        <f t="shared" si="16"/>
        <v>127380740</v>
      </c>
      <c r="AQ52" s="625">
        <f t="shared" si="17"/>
        <v>127380740</v>
      </c>
      <c r="AR52" s="625">
        <f t="shared" si="18"/>
        <v>127380740</v>
      </c>
      <c r="AS52" s="625">
        <f t="shared" si="19"/>
        <v>127380740</v>
      </c>
      <c r="AT52" s="83">
        <f t="shared" si="21"/>
        <v>2738685910</v>
      </c>
      <c r="AU52" s="339"/>
    </row>
    <row r="53" spans="2:48" x14ac:dyDescent="0.2">
      <c r="B53" s="622">
        <v>2003</v>
      </c>
      <c r="C53" s="623"/>
      <c r="D53" s="623"/>
      <c r="E53" s="623"/>
      <c r="F53" s="623"/>
      <c r="G53" s="623"/>
      <c r="H53" s="623"/>
      <c r="I53" s="623"/>
      <c r="J53" s="623"/>
      <c r="K53" s="623"/>
      <c r="L53" s="642"/>
      <c r="M53" s="642"/>
      <c r="N53" s="642"/>
      <c r="O53" s="642"/>
      <c r="P53" s="642"/>
      <c r="Q53" s="642"/>
      <c r="R53" s="642"/>
      <c r="S53" s="642"/>
      <c r="T53" s="642"/>
      <c r="U53" s="642"/>
      <c r="V53" s="642"/>
      <c r="W53" s="642"/>
      <c r="X53" s="642"/>
      <c r="Y53" s="623">
        <f>+Y25/2</f>
        <v>45607728.5</v>
      </c>
      <c r="Z53" s="623">
        <f>+Y25</f>
        <v>91215457</v>
      </c>
      <c r="AA53" s="623">
        <f>+Z53</f>
        <v>91215457</v>
      </c>
      <c r="AB53" s="623">
        <f>+AA53</f>
        <v>91215457</v>
      </c>
      <c r="AC53" s="623">
        <f t="shared" si="23"/>
        <v>91215457</v>
      </c>
      <c r="AD53" s="623">
        <f t="shared" si="23"/>
        <v>91215457</v>
      </c>
      <c r="AE53" s="623">
        <f t="shared" si="23"/>
        <v>91215457</v>
      </c>
      <c r="AF53" s="623">
        <f t="shared" si="23"/>
        <v>91215457</v>
      </c>
      <c r="AG53" s="623">
        <f t="shared" si="23"/>
        <v>91215457</v>
      </c>
      <c r="AH53" s="623">
        <f t="shared" si="23"/>
        <v>91215457</v>
      </c>
      <c r="AI53" s="624">
        <f t="shared" si="23"/>
        <v>91215457</v>
      </c>
      <c r="AJ53" s="624">
        <f t="shared" si="24"/>
        <v>91215457</v>
      </c>
      <c r="AK53" s="624">
        <f t="shared" si="24"/>
        <v>91215457</v>
      </c>
      <c r="AL53" s="624">
        <f t="shared" si="24"/>
        <v>91215457</v>
      </c>
      <c r="AM53" s="624">
        <f t="shared" si="24"/>
        <v>91215457</v>
      </c>
      <c r="AN53" s="625">
        <f t="shared" si="24"/>
        <v>91215457</v>
      </c>
      <c r="AO53" s="625">
        <f t="shared" si="15"/>
        <v>91215457</v>
      </c>
      <c r="AP53" s="625">
        <f t="shared" si="16"/>
        <v>91215457</v>
      </c>
      <c r="AQ53" s="625">
        <f t="shared" si="17"/>
        <v>91215457</v>
      </c>
      <c r="AR53" s="625">
        <f t="shared" si="18"/>
        <v>91215457</v>
      </c>
      <c r="AS53" s="625">
        <f t="shared" si="19"/>
        <v>91215457</v>
      </c>
      <c r="AT53" s="83">
        <f t="shared" si="21"/>
        <v>1869916868.5</v>
      </c>
      <c r="AU53" s="339"/>
      <c r="AV53" s="119"/>
    </row>
    <row r="54" spans="2:48" x14ac:dyDescent="0.2">
      <c r="B54" s="622">
        <v>2004</v>
      </c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2"/>
      <c r="X54" s="642"/>
      <c r="Y54" s="642"/>
      <c r="Z54" s="50">
        <f>+Z25/2</f>
        <v>49283401.599905699</v>
      </c>
      <c r="AA54" s="623">
        <f>+Z25</f>
        <v>98566803.199811399</v>
      </c>
      <c r="AB54" s="623">
        <f>+AA54</f>
        <v>98566803.199811399</v>
      </c>
      <c r="AC54" s="623">
        <f t="shared" si="23"/>
        <v>98566803.199811399</v>
      </c>
      <c r="AD54" s="623">
        <f t="shared" si="23"/>
        <v>98566803.199811399</v>
      </c>
      <c r="AE54" s="623">
        <f t="shared" si="23"/>
        <v>98566803.199811399</v>
      </c>
      <c r="AF54" s="623">
        <f t="shared" si="23"/>
        <v>98566803.199811399</v>
      </c>
      <c r="AG54" s="623">
        <f t="shared" si="23"/>
        <v>98566803.199811399</v>
      </c>
      <c r="AH54" s="623">
        <f t="shared" si="23"/>
        <v>98566803.199811399</v>
      </c>
      <c r="AI54" s="624">
        <f t="shared" si="23"/>
        <v>98566803.199811399</v>
      </c>
      <c r="AJ54" s="624">
        <f t="shared" si="24"/>
        <v>98566803.199811399</v>
      </c>
      <c r="AK54" s="624">
        <f t="shared" si="24"/>
        <v>98566803.199811399</v>
      </c>
      <c r="AL54" s="624">
        <f t="shared" si="24"/>
        <v>98566803.199811399</v>
      </c>
      <c r="AM54" s="624">
        <f t="shared" si="24"/>
        <v>98566803.199811399</v>
      </c>
      <c r="AN54" s="625">
        <f t="shared" si="24"/>
        <v>98566803.199811399</v>
      </c>
      <c r="AO54" s="625">
        <f t="shared" si="15"/>
        <v>98566803.199811399</v>
      </c>
      <c r="AP54" s="625">
        <f t="shared" si="16"/>
        <v>98566803.199811399</v>
      </c>
      <c r="AQ54" s="625">
        <f t="shared" si="17"/>
        <v>98566803.199811399</v>
      </c>
      <c r="AR54" s="625">
        <f t="shared" si="18"/>
        <v>98566803.199811399</v>
      </c>
      <c r="AS54" s="625">
        <f t="shared" si="19"/>
        <v>98566803.199811399</v>
      </c>
      <c r="AT54" s="83">
        <f t="shared" si="21"/>
        <v>1922052662.396323</v>
      </c>
      <c r="AU54" s="339"/>
    </row>
    <row r="55" spans="2:48" x14ac:dyDescent="0.2">
      <c r="B55" s="622">
        <v>2005</v>
      </c>
      <c r="C55" s="642"/>
      <c r="D55" s="642"/>
      <c r="E55" s="642"/>
      <c r="F55" s="642"/>
      <c r="G55" s="642"/>
      <c r="H55" s="642"/>
      <c r="I55" s="642"/>
      <c r="J55" s="642"/>
      <c r="K55" s="642"/>
      <c r="L55" s="642"/>
      <c r="M55" s="642"/>
      <c r="N55" s="642"/>
      <c r="O55" s="642"/>
      <c r="P55" s="642"/>
      <c r="Q55" s="642"/>
      <c r="R55" s="642"/>
      <c r="S55" s="642"/>
      <c r="T55" s="642"/>
      <c r="U55" s="642"/>
      <c r="V55" s="642"/>
      <c r="W55" s="642"/>
      <c r="X55" s="642"/>
      <c r="Y55" s="642"/>
      <c r="Z55" s="623"/>
      <c r="AA55" s="623">
        <f>+AA25/2</f>
        <v>49415119.977289796</v>
      </c>
      <c r="AB55" s="623">
        <f>+AA25</f>
        <v>98830239.954579592</v>
      </c>
      <c r="AC55" s="623">
        <f t="shared" si="23"/>
        <v>98830239.954579592</v>
      </c>
      <c r="AD55" s="623">
        <f t="shared" si="23"/>
        <v>98830239.954579592</v>
      </c>
      <c r="AE55" s="623">
        <f t="shared" si="23"/>
        <v>98830239.954579592</v>
      </c>
      <c r="AF55" s="623">
        <f t="shared" si="23"/>
        <v>98830239.954579592</v>
      </c>
      <c r="AG55" s="623">
        <f t="shared" si="23"/>
        <v>98830239.954579592</v>
      </c>
      <c r="AH55" s="623">
        <f t="shared" si="23"/>
        <v>98830239.954579592</v>
      </c>
      <c r="AI55" s="624">
        <f t="shared" si="23"/>
        <v>98830239.954579592</v>
      </c>
      <c r="AJ55" s="624">
        <f t="shared" si="24"/>
        <v>98830239.954579592</v>
      </c>
      <c r="AK55" s="624">
        <f t="shared" si="24"/>
        <v>98830239.954579592</v>
      </c>
      <c r="AL55" s="624">
        <f t="shared" si="24"/>
        <v>98830239.954579592</v>
      </c>
      <c r="AM55" s="624">
        <f t="shared" si="24"/>
        <v>98830239.954579592</v>
      </c>
      <c r="AN55" s="625">
        <f t="shared" si="24"/>
        <v>98830239.954579592</v>
      </c>
      <c r="AO55" s="625">
        <f t="shared" si="15"/>
        <v>98830239.954579592</v>
      </c>
      <c r="AP55" s="625">
        <f t="shared" si="16"/>
        <v>98830239.954579592</v>
      </c>
      <c r="AQ55" s="625">
        <f t="shared" si="17"/>
        <v>98830239.954579592</v>
      </c>
      <c r="AR55" s="625">
        <f t="shared" si="18"/>
        <v>98830239.954579592</v>
      </c>
      <c r="AS55" s="625">
        <f t="shared" si="19"/>
        <v>98830239.954579592</v>
      </c>
      <c r="AT55" s="83">
        <f t="shared" si="21"/>
        <v>1828359439.1597226</v>
      </c>
      <c r="AU55" s="339"/>
    </row>
    <row r="56" spans="2:48" x14ac:dyDescent="0.2">
      <c r="B56" s="622">
        <v>2006</v>
      </c>
      <c r="C56" s="642"/>
      <c r="D56" s="642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2"/>
      <c r="P56" s="642"/>
      <c r="Q56" s="642"/>
      <c r="R56" s="642"/>
      <c r="S56" s="642"/>
      <c r="T56" s="642"/>
      <c r="U56" s="642"/>
      <c r="V56" s="642"/>
      <c r="W56" s="642"/>
      <c r="X56" s="642"/>
      <c r="Y56" s="642"/>
      <c r="Z56" s="642"/>
      <c r="AA56" s="642"/>
      <c r="AB56" s="50">
        <f>+AB25/2</f>
        <v>53565967.90306285</v>
      </c>
      <c r="AC56" s="50">
        <f>+AB25</f>
        <v>107131935.8061257</v>
      </c>
      <c r="AD56" s="623">
        <f t="shared" si="23"/>
        <v>107131935.8061257</v>
      </c>
      <c r="AE56" s="623">
        <f t="shared" si="23"/>
        <v>107131935.8061257</v>
      </c>
      <c r="AF56" s="623">
        <f t="shared" si="23"/>
        <v>107131935.8061257</v>
      </c>
      <c r="AG56" s="623">
        <f t="shared" si="23"/>
        <v>107131935.8061257</v>
      </c>
      <c r="AH56" s="623">
        <f t="shared" si="23"/>
        <v>107131935.8061257</v>
      </c>
      <c r="AI56" s="624">
        <f t="shared" si="23"/>
        <v>107131935.8061257</v>
      </c>
      <c r="AJ56" s="624">
        <f t="shared" si="24"/>
        <v>107131935.8061257</v>
      </c>
      <c r="AK56" s="624">
        <f t="shared" si="24"/>
        <v>107131935.8061257</v>
      </c>
      <c r="AL56" s="624">
        <f t="shared" si="24"/>
        <v>107131935.8061257</v>
      </c>
      <c r="AM56" s="624">
        <f t="shared" si="24"/>
        <v>107131935.8061257</v>
      </c>
      <c r="AN56" s="625">
        <f t="shared" si="24"/>
        <v>107131935.8061257</v>
      </c>
      <c r="AO56" s="625">
        <f t="shared" si="15"/>
        <v>107131935.8061257</v>
      </c>
      <c r="AP56" s="625">
        <f t="shared" si="16"/>
        <v>107131935.8061257</v>
      </c>
      <c r="AQ56" s="625">
        <f t="shared" si="17"/>
        <v>107131935.8061257</v>
      </c>
      <c r="AR56" s="625">
        <f t="shared" si="18"/>
        <v>107131935.8061257</v>
      </c>
      <c r="AS56" s="625">
        <f t="shared" si="19"/>
        <v>107131935.8061257</v>
      </c>
      <c r="AT56" s="83">
        <f t="shared" si="21"/>
        <v>1874808876.6071992</v>
      </c>
      <c r="AU56" s="339"/>
    </row>
    <row r="57" spans="2:48" x14ac:dyDescent="0.2">
      <c r="B57" s="622">
        <v>2007</v>
      </c>
      <c r="C57" s="642"/>
      <c r="D57" s="642"/>
      <c r="E57" s="642"/>
      <c r="F57" s="642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  <c r="R57" s="642"/>
      <c r="S57" s="642"/>
      <c r="T57" s="642"/>
      <c r="U57" s="642"/>
      <c r="V57" s="642"/>
      <c r="W57" s="642"/>
      <c r="X57" s="642"/>
      <c r="Y57" s="642"/>
      <c r="Z57" s="642"/>
      <c r="AA57" s="642"/>
      <c r="AB57" s="642"/>
      <c r="AC57" s="50">
        <f>+AC25/2</f>
        <v>30151807.466267534</v>
      </c>
      <c r="AD57" s="50">
        <f>+AC25</f>
        <v>60303614.932535067</v>
      </c>
      <c r="AE57" s="623">
        <f>+AD57</f>
        <v>60303614.932535067</v>
      </c>
      <c r="AF57" s="623">
        <f>+AE57</f>
        <v>60303614.932535067</v>
      </c>
      <c r="AG57" s="623">
        <f>+AF57</f>
        <v>60303614.932535067</v>
      </c>
      <c r="AH57" s="623">
        <f t="shared" si="23"/>
        <v>60303614.932535067</v>
      </c>
      <c r="AI57" s="624">
        <f t="shared" si="23"/>
        <v>60303614.932535067</v>
      </c>
      <c r="AJ57" s="624">
        <f t="shared" si="24"/>
        <v>60303614.932535067</v>
      </c>
      <c r="AK57" s="624">
        <f t="shared" si="24"/>
        <v>60303614.932535067</v>
      </c>
      <c r="AL57" s="624">
        <f t="shared" si="24"/>
        <v>60303614.932535067</v>
      </c>
      <c r="AM57" s="624">
        <f t="shared" si="24"/>
        <v>60303614.932535067</v>
      </c>
      <c r="AN57" s="625">
        <f t="shared" si="24"/>
        <v>60303614.932535067</v>
      </c>
      <c r="AO57" s="625">
        <f t="shared" si="15"/>
        <v>60303614.932535067</v>
      </c>
      <c r="AP57" s="625">
        <f t="shared" si="16"/>
        <v>60303614.932535067</v>
      </c>
      <c r="AQ57" s="625">
        <f t="shared" si="17"/>
        <v>60303614.932535067</v>
      </c>
      <c r="AR57" s="625">
        <f t="shared" si="18"/>
        <v>60303614.932535067</v>
      </c>
      <c r="AS57" s="625">
        <f t="shared" si="19"/>
        <v>60303614.932535067</v>
      </c>
      <c r="AT57" s="83">
        <f t="shared" si="21"/>
        <v>995009646.38682842</v>
      </c>
      <c r="AU57" s="339"/>
    </row>
    <row r="58" spans="2:48" x14ac:dyDescent="0.2">
      <c r="B58" s="622">
        <v>2008</v>
      </c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2"/>
      <c r="S58" s="642"/>
      <c r="T58" s="642"/>
      <c r="U58" s="642"/>
      <c r="V58" s="642"/>
      <c r="W58" s="642"/>
      <c r="X58" s="642"/>
      <c r="Y58" s="642"/>
      <c r="Z58" s="642"/>
      <c r="AA58" s="642"/>
      <c r="AB58" s="642"/>
      <c r="AC58" s="50"/>
      <c r="AD58" s="50">
        <f>+AD25/2</f>
        <v>55753358.192197196</v>
      </c>
      <c r="AE58" s="50">
        <f>+AD25</f>
        <v>111506716.38439439</v>
      </c>
      <c r="AF58" s="50">
        <f>+AE58</f>
        <v>111506716.38439439</v>
      </c>
      <c r="AG58" s="50">
        <f>+AF58</f>
        <v>111506716.38439439</v>
      </c>
      <c r="AH58" s="50">
        <f t="shared" si="23"/>
        <v>111506716.38439439</v>
      </c>
      <c r="AI58" s="624">
        <f t="shared" si="23"/>
        <v>111506716.38439439</v>
      </c>
      <c r="AJ58" s="624">
        <f t="shared" si="24"/>
        <v>111506716.38439439</v>
      </c>
      <c r="AK58" s="624">
        <f t="shared" si="24"/>
        <v>111506716.38439439</v>
      </c>
      <c r="AL58" s="624">
        <f t="shared" si="24"/>
        <v>111506716.38439439</v>
      </c>
      <c r="AM58" s="624">
        <f t="shared" si="24"/>
        <v>111506716.38439439</v>
      </c>
      <c r="AN58" s="625">
        <f t="shared" si="24"/>
        <v>111506716.38439439</v>
      </c>
      <c r="AO58" s="625">
        <f t="shared" si="15"/>
        <v>111506716.38439439</v>
      </c>
      <c r="AP58" s="625">
        <f t="shared" si="16"/>
        <v>111506716.38439439</v>
      </c>
      <c r="AQ58" s="625">
        <f t="shared" si="17"/>
        <v>111506716.38439439</v>
      </c>
      <c r="AR58" s="625">
        <f t="shared" si="18"/>
        <v>111506716.38439439</v>
      </c>
      <c r="AS58" s="625">
        <f t="shared" si="19"/>
        <v>111506716.38439439</v>
      </c>
      <c r="AT58" s="83">
        <f t="shared" si="21"/>
        <v>1728354103.9581132</v>
      </c>
      <c r="AU58" s="339"/>
    </row>
    <row r="59" spans="2:48" x14ac:dyDescent="0.2">
      <c r="B59" s="622">
        <v>2009</v>
      </c>
      <c r="C59" s="642"/>
      <c r="D59" s="642"/>
      <c r="E59" s="642"/>
      <c r="F59" s="642"/>
      <c r="G59" s="642"/>
      <c r="H59" s="642"/>
      <c r="I59" s="642"/>
      <c r="J59" s="642"/>
      <c r="K59" s="642"/>
      <c r="L59" s="642"/>
      <c r="M59" s="642"/>
      <c r="N59" s="642"/>
      <c r="O59" s="642"/>
      <c r="P59" s="642"/>
      <c r="Q59" s="642"/>
      <c r="R59" s="642"/>
      <c r="S59" s="642"/>
      <c r="T59" s="642"/>
      <c r="U59" s="642"/>
      <c r="V59" s="642"/>
      <c r="W59" s="642"/>
      <c r="X59" s="642"/>
      <c r="Y59" s="642"/>
      <c r="Z59" s="642"/>
      <c r="AA59" s="642"/>
      <c r="AB59" s="642"/>
      <c r="AC59" s="50"/>
      <c r="AD59" s="50"/>
      <c r="AE59" s="50">
        <f>+AE25/2</f>
        <v>48019370.650052227</v>
      </c>
      <c r="AF59" s="50">
        <f>+AE25</f>
        <v>96038741.300104454</v>
      </c>
      <c r="AG59" s="50">
        <f>+AF59</f>
        <v>96038741.300104454</v>
      </c>
      <c r="AH59" s="50">
        <f t="shared" si="23"/>
        <v>96038741.300104454</v>
      </c>
      <c r="AI59" s="624">
        <f t="shared" si="23"/>
        <v>96038741.300104454</v>
      </c>
      <c r="AJ59" s="624">
        <f t="shared" si="24"/>
        <v>96038741.300104454</v>
      </c>
      <c r="AK59" s="624">
        <f t="shared" si="24"/>
        <v>96038741.300104454</v>
      </c>
      <c r="AL59" s="624">
        <f t="shared" si="24"/>
        <v>96038741.300104454</v>
      </c>
      <c r="AM59" s="624">
        <f t="shared" si="24"/>
        <v>96038741.300104454</v>
      </c>
      <c r="AN59" s="625">
        <f t="shared" si="24"/>
        <v>96038741.300104454</v>
      </c>
      <c r="AO59" s="625">
        <f t="shared" si="15"/>
        <v>96038741.300104454</v>
      </c>
      <c r="AP59" s="625">
        <f t="shared" si="16"/>
        <v>96038741.300104454</v>
      </c>
      <c r="AQ59" s="625">
        <f t="shared" si="17"/>
        <v>96038741.300104454</v>
      </c>
      <c r="AR59" s="625">
        <f t="shared" si="18"/>
        <v>96038741.300104454</v>
      </c>
      <c r="AS59" s="625">
        <f t="shared" si="19"/>
        <v>96038741.300104454</v>
      </c>
      <c r="AT59" s="83">
        <f t="shared" si="21"/>
        <v>1392561748.8515146</v>
      </c>
      <c r="AU59" s="339"/>
    </row>
    <row r="60" spans="2:48" x14ac:dyDescent="0.2">
      <c r="B60" s="622">
        <v>2010</v>
      </c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2"/>
      <c r="X60" s="642"/>
      <c r="Y60" s="642"/>
      <c r="Z60" s="642"/>
      <c r="AA60" s="642"/>
      <c r="AB60" s="642"/>
      <c r="AC60" s="50"/>
      <c r="AD60" s="50"/>
      <c r="AE60" s="50"/>
      <c r="AF60" s="50">
        <f>+AF25/2</f>
        <v>70574763.319307461</v>
      </c>
      <c r="AG60" s="50">
        <f>+AF25</f>
        <v>141149526.63861492</v>
      </c>
      <c r="AH60" s="50">
        <f>+AG60</f>
        <v>141149526.63861492</v>
      </c>
      <c r="AI60" s="624">
        <f t="shared" si="23"/>
        <v>141149526.63861492</v>
      </c>
      <c r="AJ60" s="624">
        <f t="shared" si="24"/>
        <v>141149526.63861492</v>
      </c>
      <c r="AK60" s="624">
        <f t="shared" si="24"/>
        <v>141149526.63861492</v>
      </c>
      <c r="AL60" s="624">
        <f t="shared" si="24"/>
        <v>141149526.63861492</v>
      </c>
      <c r="AM60" s="624">
        <f t="shared" si="24"/>
        <v>141149526.63861492</v>
      </c>
      <c r="AN60" s="625">
        <f t="shared" si="24"/>
        <v>141149526.63861492</v>
      </c>
      <c r="AO60" s="625">
        <f t="shared" si="15"/>
        <v>141149526.63861492</v>
      </c>
      <c r="AP60" s="625">
        <f t="shared" si="16"/>
        <v>141149526.63861492</v>
      </c>
      <c r="AQ60" s="625">
        <f t="shared" si="17"/>
        <v>141149526.63861492</v>
      </c>
      <c r="AR60" s="625">
        <f t="shared" si="18"/>
        <v>141149526.63861492</v>
      </c>
      <c r="AS60" s="625">
        <f t="shared" si="19"/>
        <v>141149526.63861492</v>
      </c>
      <c r="AT60" s="83">
        <f t="shared" si="21"/>
        <v>1905518609.6213012</v>
      </c>
      <c r="AU60" s="339"/>
    </row>
    <row r="61" spans="2:48" x14ac:dyDescent="0.2">
      <c r="B61" s="622">
        <v>2011</v>
      </c>
      <c r="C61" s="642"/>
      <c r="D61" s="642"/>
      <c r="E61" s="642"/>
      <c r="F61" s="642"/>
      <c r="G61" s="642"/>
      <c r="H61" s="642"/>
      <c r="I61" s="642"/>
      <c r="J61" s="642"/>
      <c r="K61" s="642"/>
      <c r="L61" s="642"/>
      <c r="M61" s="642"/>
      <c r="N61" s="642"/>
      <c r="O61" s="642"/>
      <c r="P61" s="642"/>
      <c r="Q61" s="642"/>
      <c r="R61" s="642"/>
      <c r="S61" s="642"/>
      <c r="T61" s="642"/>
      <c r="U61" s="642"/>
      <c r="V61" s="642"/>
      <c r="W61" s="642"/>
      <c r="X61" s="642"/>
      <c r="Y61" s="642"/>
      <c r="Z61" s="642"/>
      <c r="AA61" s="642"/>
      <c r="AB61" s="642"/>
      <c r="AC61" s="50"/>
      <c r="AD61" s="50"/>
      <c r="AE61" s="50"/>
      <c r="AF61" s="50"/>
      <c r="AG61" s="50">
        <f>+AG25/2</f>
        <v>97979384.929003298</v>
      </c>
      <c r="AH61" s="50">
        <f>+AG25</f>
        <v>195958769.8580066</v>
      </c>
      <c r="AI61" s="624">
        <f t="shared" si="23"/>
        <v>195958769.8580066</v>
      </c>
      <c r="AJ61" s="624">
        <f t="shared" si="24"/>
        <v>195958769.8580066</v>
      </c>
      <c r="AK61" s="624">
        <f t="shared" si="24"/>
        <v>195958769.8580066</v>
      </c>
      <c r="AL61" s="624">
        <f t="shared" si="24"/>
        <v>195958769.8580066</v>
      </c>
      <c r="AM61" s="624">
        <f t="shared" si="24"/>
        <v>195958769.8580066</v>
      </c>
      <c r="AN61" s="625">
        <f t="shared" si="24"/>
        <v>195958769.8580066</v>
      </c>
      <c r="AO61" s="625">
        <f t="shared" si="15"/>
        <v>195958769.8580066</v>
      </c>
      <c r="AP61" s="625">
        <f t="shared" si="16"/>
        <v>195958769.8580066</v>
      </c>
      <c r="AQ61" s="625">
        <f t="shared" si="17"/>
        <v>195958769.8580066</v>
      </c>
      <c r="AR61" s="625">
        <f t="shared" si="18"/>
        <v>195958769.8580066</v>
      </c>
      <c r="AS61" s="625">
        <f t="shared" si="19"/>
        <v>195958769.8580066</v>
      </c>
      <c r="AT61" s="83">
        <f t="shared" si="21"/>
        <v>2449484623.2250819</v>
      </c>
      <c r="AU61" s="339"/>
    </row>
    <row r="62" spans="2:48" x14ac:dyDescent="0.2">
      <c r="B62" s="622">
        <v>2012</v>
      </c>
      <c r="C62" s="642"/>
      <c r="D62" s="642"/>
      <c r="E62" s="642"/>
      <c r="F62" s="642"/>
      <c r="G62" s="642"/>
      <c r="H62" s="642"/>
      <c r="I62" s="642"/>
      <c r="J62" s="642"/>
      <c r="K62" s="642"/>
      <c r="L62" s="642"/>
      <c r="M62" s="642"/>
      <c r="N62" s="642"/>
      <c r="O62" s="642"/>
      <c r="P62" s="642"/>
      <c r="Q62" s="642"/>
      <c r="R62" s="642"/>
      <c r="S62" s="642"/>
      <c r="T62" s="642"/>
      <c r="U62" s="642"/>
      <c r="V62" s="642"/>
      <c r="W62" s="642"/>
      <c r="X62" s="642"/>
      <c r="Y62" s="642"/>
      <c r="Z62" s="642"/>
      <c r="AA62" s="642"/>
      <c r="AB62" s="642"/>
      <c r="AC62" s="50"/>
      <c r="AD62" s="50"/>
      <c r="AE62" s="50"/>
      <c r="AF62" s="50"/>
      <c r="AG62" s="50"/>
      <c r="AH62" s="50">
        <f>+AH25/2</f>
        <v>70425221.06419979</v>
      </c>
      <c r="AI62" s="624">
        <f>+AH25</f>
        <v>140850442.12839958</v>
      </c>
      <c r="AJ62" s="624">
        <f t="shared" si="24"/>
        <v>140850442.12839958</v>
      </c>
      <c r="AK62" s="624">
        <f t="shared" si="24"/>
        <v>140850442.12839958</v>
      </c>
      <c r="AL62" s="624">
        <f t="shared" si="24"/>
        <v>140850442.12839958</v>
      </c>
      <c r="AM62" s="624">
        <f t="shared" si="24"/>
        <v>140850442.12839958</v>
      </c>
      <c r="AN62" s="625">
        <f t="shared" si="24"/>
        <v>140850442.12839958</v>
      </c>
      <c r="AO62" s="625">
        <f t="shared" si="15"/>
        <v>140850442.12839958</v>
      </c>
      <c r="AP62" s="625">
        <f t="shared" si="16"/>
        <v>140850442.12839958</v>
      </c>
      <c r="AQ62" s="625">
        <f t="shared" si="17"/>
        <v>140850442.12839958</v>
      </c>
      <c r="AR62" s="625">
        <f t="shared" si="18"/>
        <v>140850442.12839958</v>
      </c>
      <c r="AS62" s="625">
        <f t="shared" si="19"/>
        <v>140850442.12839958</v>
      </c>
      <c r="AT62" s="83">
        <f t="shared" si="21"/>
        <v>1619780084.4765954</v>
      </c>
      <c r="AU62" s="339"/>
    </row>
    <row r="63" spans="2:48" x14ac:dyDescent="0.2">
      <c r="B63" s="622">
        <v>2013</v>
      </c>
      <c r="C63" s="642"/>
      <c r="D63" s="642"/>
      <c r="E63" s="642"/>
      <c r="F63" s="642"/>
      <c r="G63" s="642"/>
      <c r="H63" s="642"/>
      <c r="I63" s="642"/>
      <c r="J63" s="642"/>
      <c r="K63" s="642"/>
      <c r="L63" s="642"/>
      <c r="M63" s="642"/>
      <c r="N63" s="642"/>
      <c r="O63" s="642"/>
      <c r="P63" s="642"/>
      <c r="Q63" s="642"/>
      <c r="R63" s="642"/>
      <c r="S63" s="642"/>
      <c r="T63" s="642"/>
      <c r="U63" s="642"/>
      <c r="V63" s="642"/>
      <c r="W63" s="642"/>
      <c r="X63" s="642"/>
      <c r="Y63" s="642"/>
      <c r="Z63" s="642"/>
      <c r="AA63" s="642"/>
      <c r="AB63" s="642"/>
      <c r="AC63" s="50"/>
      <c r="AD63" s="50"/>
      <c r="AE63" s="50"/>
      <c r="AF63" s="84"/>
      <c r="AG63" s="84"/>
      <c r="AH63" s="84"/>
      <c r="AI63" s="85">
        <f>+AI25/2</f>
        <v>69315942.119723484</v>
      </c>
      <c r="AJ63" s="85">
        <f>+AI25</f>
        <v>138631884.23944697</v>
      </c>
      <c r="AK63" s="85">
        <f>+AJ63</f>
        <v>138631884.23944697</v>
      </c>
      <c r="AL63" s="85">
        <f>+AK63</f>
        <v>138631884.23944697</v>
      </c>
      <c r="AM63" s="85">
        <f>+AL63</f>
        <v>138631884.23944697</v>
      </c>
      <c r="AN63" s="625">
        <f>+AM63</f>
        <v>138631884.23944697</v>
      </c>
      <c r="AO63" s="625">
        <f t="shared" si="15"/>
        <v>138631884.23944697</v>
      </c>
      <c r="AP63" s="625">
        <f t="shared" si="16"/>
        <v>138631884.23944697</v>
      </c>
      <c r="AQ63" s="625">
        <f t="shared" si="17"/>
        <v>138631884.23944697</v>
      </c>
      <c r="AR63" s="625">
        <f t="shared" si="18"/>
        <v>138631884.23944697</v>
      </c>
      <c r="AS63" s="625">
        <f t="shared" si="19"/>
        <v>138631884.23944697</v>
      </c>
      <c r="AT63" s="83">
        <f t="shared" si="21"/>
        <v>1455634784.5141931</v>
      </c>
      <c r="AU63" s="339"/>
    </row>
    <row r="64" spans="2:48" x14ac:dyDescent="0.2">
      <c r="B64" s="622">
        <v>2014</v>
      </c>
      <c r="C64" s="645"/>
      <c r="D64" s="645"/>
      <c r="E64" s="645"/>
      <c r="F64" s="645"/>
      <c r="G64" s="645"/>
      <c r="H64" s="645"/>
      <c r="I64" s="645"/>
      <c r="J64" s="645"/>
      <c r="K64" s="645"/>
      <c r="L64" s="645"/>
      <c r="M64" s="645"/>
      <c r="N64" s="645"/>
      <c r="O64" s="645"/>
      <c r="P64" s="645"/>
      <c r="Q64" s="645"/>
      <c r="R64" s="645"/>
      <c r="S64" s="645"/>
      <c r="T64" s="645"/>
      <c r="U64" s="645"/>
      <c r="V64" s="645"/>
      <c r="W64" s="645"/>
      <c r="X64" s="645"/>
      <c r="Y64" s="645"/>
      <c r="Z64" s="645"/>
      <c r="AA64" s="645"/>
      <c r="AB64" s="645"/>
      <c r="AC64" s="84"/>
      <c r="AD64" s="84"/>
      <c r="AE64" s="84"/>
      <c r="AF64" s="84"/>
      <c r="AG64" s="84"/>
      <c r="AH64" s="84"/>
      <c r="AI64" s="85"/>
      <c r="AJ64" s="85">
        <f>+AJ25/2</f>
        <v>76796628.4814502</v>
      </c>
      <c r="AK64" s="85">
        <f>AJ25</f>
        <v>153593256.9629004</v>
      </c>
      <c r="AL64" s="85">
        <f>+AK64</f>
        <v>153593256.9629004</v>
      </c>
      <c r="AM64" s="85">
        <f>+AL64</f>
        <v>153593256.9629004</v>
      </c>
      <c r="AN64" s="625">
        <f>+AM64</f>
        <v>153593256.9629004</v>
      </c>
      <c r="AO64" s="625">
        <f t="shared" si="15"/>
        <v>153593256.9629004</v>
      </c>
      <c r="AP64" s="625">
        <f t="shared" si="16"/>
        <v>153593256.9629004</v>
      </c>
      <c r="AQ64" s="625">
        <f t="shared" si="17"/>
        <v>153593256.9629004</v>
      </c>
      <c r="AR64" s="625">
        <f t="shared" si="18"/>
        <v>153593256.9629004</v>
      </c>
      <c r="AS64" s="625">
        <f t="shared" si="19"/>
        <v>153593256.9629004</v>
      </c>
      <c r="AT64" s="83">
        <f t="shared" si="21"/>
        <v>1459135941.1475539</v>
      </c>
      <c r="AU64" s="339"/>
    </row>
    <row r="65" spans="1:47" x14ac:dyDescent="0.2">
      <c r="B65" s="622">
        <v>2015</v>
      </c>
      <c r="C65" s="645"/>
      <c r="D65" s="645"/>
      <c r="E65" s="645"/>
      <c r="F65" s="645"/>
      <c r="G65" s="645"/>
      <c r="H65" s="645"/>
      <c r="I65" s="645"/>
      <c r="J65" s="645"/>
      <c r="K65" s="645"/>
      <c r="L65" s="645"/>
      <c r="M65" s="645"/>
      <c r="N65" s="645"/>
      <c r="O65" s="645"/>
      <c r="P65" s="645"/>
      <c r="Q65" s="645"/>
      <c r="R65" s="645"/>
      <c r="S65" s="645"/>
      <c r="T65" s="645"/>
      <c r="U65" s="645"/>
      <c r="V65" s="645"/>
      <c r="W65" s="645"/>
      <c r="X65" s="645"/>
      <c r="Y65" s="645"/>
      <c r="Z65" s="645"/>
      <c r="AA65" s="645"/>
      <c r="AB65" s="645"/>
      <c r="AC65" s="84"/>
      <c r="AD65" s="84"/>
      <c r="AE65" s="84"/>
      <c r="AF65" s="84"/>
      <c r="AG65" s="84"/>
      <c r="AH65" s="84"/>
      <c r="AI65" s="85"/>
      <c r="AJ65" s="85"/>
      <c r="AK65" s="85">
        <f>+AK25/2</f>
        <v>53817000</v>
      </c>
      <c r="AL65" s="85">
        <f>+AK25</f>
        <v>107634000</v>
      </c>
      <c r="AM65" s="85">
        <f>+AL65</f>
        <v>107634000</v>
      </c>
      <c r="AN65" s="625">
        <f>+AM65</f>
        <v>107634000</v>
      </c>
      <c r="AO65" s="625">
        <f t="shared" si="15"/>
        <v>107634000</v>
      </c>
      <c r="AP65" s="625">
        <f t="shared" si="16"/>
        <v>107634000</v>
      </c>
      <c r="AQ65" s="625">
        <f t="shared" si="17"/>
        <v>107634000</v>
      </c>
      <c r="AR65" s="625">
        <f t="shared" si="18"/>
        <v>107634000</v>
      </c>
      <c r="AS65" s="625">
        <f t="shared" si="19"/>
        <v>107634000</v>
      </c>
      <c r="AT65" s="83">
        <f t="shared" si="21"/>
        <v>914889000</v>
      </c>
      <c r="AU65" s="339"/>
    </row>
    <row r="66" spans="1:47" x14ac:dyDescent="0.2">
      <c r="B66" s="622">
        <v>2016</v>
      </c>
      <c r="C66" s="645"/>
      <c r="D66" s="645"/>
      <c r="E66" s="645"/>
      <c r="F66" s="645"/>
      <c r="G66" s="645"/>
      <c r="H66" s="645"/>
      <c r="I66" s="645"/>
      <c r="J66" s="645"/>
      <c r="K66" s="645"/>
      <c r="L66" s="645"/>
      <c r="M66" s="645"/>
      <c r="N66" s="645"/>
      <c r="O66" s="645"/>
      <c r="P66" s="645"/>
      <c r="Q66" s="645"/>
      <c r="R66" s="645"/>
      <c r="S66" s="645"/>
      <c r="T66" s="645"/>
      <c r="U66" s="645"/>
      <c r="V66" s="645"/>
      <c r="W66" s="645"/>
      <c r="X66" s="645"/>
      <c r="Y66" s="645"/>
      <c r="Z66" s="645"/>
      <c r="AA66" s="645"/>
      <c r="AB66" s="645"/>
      <c r="AC66" s="84"/>
      <c r="AD66" s="84"/>
      <c r="AE66" s="84"/>
      <c r="AF66" s="84"/>
      <c r="AG66" s="84"/>
      <c r="AH66" s="84"/>
      <c r="AI66" s="85"/>
      <c r="AJ66" s="85"/>
      <c r="AK66" s="85"/>
      <c r="AL66" s="85">
        <f>+AL25/2</f>
        <v>11225370.661</v>
      </c>
      <c r="AM66" s="85">
        <f>+AL25</f>
        <v>22450741.322000001</v>
      </c>
      <c r="AN66" s="625">
        <f>+AL25</f>
        <v>22450741.322000001</v>
      </c>
      <c r="AO66" s="625">
        <f>AN66</f>
        <v>22450741.322000001</v>
      </c>
      <c r="AP66" s="625">
        <f t="shared" ref="AP66:AS66" si="25">AO66</f>
        <v>22450741.322000001</v>
      </c>
      <c r="AQ66" s="625">
        <f t="shared" si="25"/>
        <v>22450741.322000001</v>
      </c>
      <c r="AR66" s="625">
        <f t="shared" si="25"/>
        <v>22450741.322000001</v>
      </c>
      <c r="AS66" s="625">
        <f t="shared" si="25"/>
        <v>22450741.322000001</v>
      </c>
      <c r="AT66" s="83">
        <f t="shared" si="21"/>
        <v>168380559.91499999</v>
      </c>
      <c r="AU66" s="339"/>
    </row>
    <row r="67" spans="1:47" x14ac:dyDescent="0.2">
      <c r="B67" s="622">
        <v>2017</v>
      </c>
      <c r="C67" s="645"/>
      <c r="D67" s="645"/>
      <c r="E67" s="645"/>
      <c r="F67" s="645"/>
      <c r="G67" s="645"/>
      <c r="H67" s="645"/>
      <c r="I67" s="645"/>
      <c r="J67" s="645"/>
      <c r="K67" s="645"/>
      <c r="L67" s="645"/>
      <c r="M67" s="645"/>
      <c r="N67" s="645"/>
      <c r="O67" s="645"/>
      <c r="P67" s="645"/>
      <c r="Q67" s="645"/>
      <c r="R67" s="645"/>
      <c r="S67" s="645"/>
      <c r="T67" s="645"/>
      <c r="U67" s="645"/>
      <c r="V67" s="645"/>
      <c r="W67" s="645"/>
      <c r="X67" s="645"/>
      <c r="Y67" s="645"/>
      <c r="Z67" s="645"/>
      <c r="AA67" s="645"/>
      <c r="AB67" s="645"/>
      <c r="AC67" s="84"/>
      <c r="AD67" s="84"/>
      <c r="AE67" s="84"/>
      <c r="AF67" s="84"/>
      <c r="AG67" s="84"/>
      <c r="AH67" s="84"/>
      <c r="AI67" s="85"/>
      <c r="AJ67" s="85"/>
      <c r="AK67" s="85"/>
      <c r="AL67" s="85"/>
      <c r="AM67" s="85">
        <f>+AM25/2</f>
        <v>11805274.356899999</v>
      </c>
      <c r="AN67" s="625">
        <f>+AM25</f>
        <v>23610548.713799998</v>
      </c>
      <c r="AO67" s="625">
        <f>AN67</f>
        <v>23610548.713799998</v>
      </c>
      <c r="AP67" s="625">
        <f t="shared" ref="AP67:AS67" si="26">AO67</f>
        <v>23610548.713799998</v>
      </c>
      <c r="AQ67" s="625">
        <f t="shared" si="26"/>
        <v>23610548.713799998</v>
      </c>
      <c r="AR67" s="625">
        <f t="shared" si="26"/>
        <v>23610548.713799998</v>
      </c>
      <c r="AS67" s="625">
        <f t="shared" si="26"/>
        <v>23610548.713799998</v>
      </c>
      <c r="AT67" s="83">
        <f t="shared" si="21"/>
        <v>153468566.6397</v>
      </c>
      <c r="AU67" s="339"/>
    </row>
    <row r="68" spans="1:47" x14ac:dyDescent="0.2">
      <c r="B68" s="622">
        <v>2018</v>
      </c>
      <c r="C68" s="645"/>
      <c r="D68" s="645"/>
      <c r="E68" s="645"/>
      <c r="F68" s="645"/>
      <c r="G68" s="645"/>
      <c r="H68" s="645"/>
      <c r="I68" s="645"/>
      <c r="J68" s="645"/>
      <c r="K68" s="645"/>
      <c r="L68" s="645"/>
      <c r="M68" s="645"/>
      <c r="N68" s="645"/>
      <c r="O68" s="645"/>
      <c r="P68" s="645"/>
      <c r="Q68" s="645"/>
      <c r="R68" s="645"/>
      <c r="S68" s="645"/>
      <c r="T68" s="645"/>
      <c r="U68" s="645"/>
      <c r="V68" s="645"/>
      <c r="W68" s="645"/>
      <c r="X68" s="645"/>
      <c r="Y68" s="645"/>
      <c r="Z68" s="645"/>
      <c r="AA68" s="645"/>
      <c r="AB68" s="645"/>
      <c r="AC68" s="84"/>
      <c r="AD68" s="84"/>
      <c r="AE68" s="84"/>
      <c r="AF68" s="84"/>
      <c r="AG68" s="84"/>
      <c r="AH68" s="84"/>
      <c r="AI68" s="85"/>
      <c r="AJ68" s="85"/>
      <c r="AK68" s="85"/>
      <c r="AL68" s="85"/>
      <c r="AM68" s="85"/>
      <c r="AN68" s="625">
        <f>AN25/2</f>
        <v>11201882.574905124</v>
      </c>
      <c r="AO68" s="625">
        <f>AN25</f>
        <v>22403765.149810247</v>
      </c>
      <c r="AP68" s="625">
        <f>AO68</f>
        <v>22403765.149810247</v>
      </c>
      <c r="AQ68" s="625">
        <f t="shared" ref="AQ68:AS68" si="27">AP68</f>
        <v>22403765.149810247</v>
      </c>
      <c r="AR68" s="625">
        <f t="shared" si="27"/>
        <v>22403765.149810247</v>
      </c>
      <c r="AS68" s="625">
        <f t="shared" si="27"/>
        <v>22403765.149810247</v>
      </c>
      <c r="AT68" s="83">
        <f t="shared" si="21"/>
        <v>123220708.32395637</v>
      </c>
      <c r="AU68" s="339"/>
    </row>
    <row r="69" spans="1:47" s="87" customFormat="1" x14ac:dyDescent="0.2">
      <c r="B69" s="646">
        <v>2019</v>
      </c>
      <c r="C69" s="645"/>
      <c r="D69" s="645"/>
      <c r="E69" s="645"/>
      <c r="F69" s="645"/>
      <c r="G69" s="645"/>
      <c r="H69" s="645"/>
      <c r="I69" s="645"/>
      <c r="J69" s="645"/>
      <c r="K69" s="645"/>
      <c r="L69" s="645"/>
      <c r="M69" s="645"/>
      <c r="N69" s="645"/>
      <c r="O69" s="645"/>
      <c r="P69" s="645"/>
      <c r="Q69" s="645"/>
      <c r="R69" s="645"/>
      <c r="S69" s="645"/>
      <c r="T69" s="645"/>
      <c r="U69" s="645"/>
      <c r="V69" s="645"/>
      <c r="W69" s="645"/>
      <c r="X69" s="645"/>
      <c r="Y69" s="645"/>
      <c r="Z69" s="645"/>
      <c r="AA69" s="645"/>
      <c r="AB69" s="645"/>
      <c r="AC69" s="84"/>
      <c r="AD69" s="84"/>
      <c r="AE69" s="84"/>
      <c r="AF69" s="84"/>
      <c r="AG69" s="84"/>
      <c r="AH69" s="84"/>
      <c r="AI69" s="85"/>
      <c r="AJ69" s="85"/>
      <c r="AK69" s="85"/>
      <c r="AL69" s="85"/>
      <c r="AM69" s="85"/>
      <c r="AN69" s="647"/>
      <c r="AO69" s="625">
        <f>AO25/2</f>
        <v>10839372.942235056</v>
      </c>
      <c r="AP69" s="625">
        <f>AO25</f>
        <v>21678745.884470113</v>
      </c>
      <c r="AQ69" s="625">
        <f>AP69</f>
        <v>21678745.884470113</v>
      </c>
      <c r="AR69" s="625">
        <f t="shared" ref="AR69:AS71" si="28">AQ69</f>
        <v>21678745.884470113</v>
      </c>
      <c r="AS69" s="625">
        <f t="shared" si="28"/>
        <v>21678745.884470113</v>
      </c>
      <c r="AT69" s="83">
        <f t="shared" si="21"/>
        <v>97554356.480115503</v>
      </c>
    </row>
    <row r="70" spans="1:47" s="411" customFormat="1" ht="12.75" x14ac:dyDescent="0.2">
      <c r="B70" s="646">
        <v>2020</v>
      </c>
      <c r="C70" s="645"/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  <c r="Q70" s="645"/>
      <c r="R70" s="645"/>
      <c r="S70" s="645"/>
      <c r="T70" s="645"/>
      <c r="U70" s="645"/>
      <c r="V70" s="645"/>
      <c r="W70" s="645"/>
      <c r="X70" s="645"/>
      <c r="Y70" s="645"/>
      <c r="Z70" s="645"/>
      <c r="AA70" s="645"/>
      <c r="AB70" s="645"/>
      <c r="AC70" s="84"/>
      <c r="AD70" s="84"/>
      <c r="AE70" s="84"/>
      <c r="AF70" s="84"/>
      <c r="AG70" s="84"/>
      <c r="AH70" s="84"/>
      <c r="AI70" s="85"/>
      <c r="AJ70" s="85"/>
      <c r="AK70" s="85"/>
      <c r="AL70" s="85"/>
      <c r="AM70" s="85"/>
      <c r="AN70" s="647"/>
      <c r="AO70" s="625"/>
      <c r="AP70" s="625">
        <f>AP25/2</f>
        <v>10306643.238450063</v>
      </c>
      <c r="AQ70" s="625">
        <f>AP25</f>
        <v>20613286.476900127</v>
      </c>
      <c r="AR70" s="625">
        <f t="shared" si="28"/>
        <v>20613286.476900127</v>
      </c>
      <c r="AS70" s="625">
        <f t="shared" si="28"/>
        <v>20613286.476900127</v>
      </c>
      <c r="AT70" s="83">
        <f t="shared" si="21"/>
        <v>72146502.669150442</v>
      </c>
      <c r="AU70" s="87"/>
    </row>
    <row r="71" spans="1:47" s="411" customFormat="1" ht="12.75" x14ac:dyDescent="0.2">
      <c r="B71" s="646">
        <v>2021</v>
      </c>
      <c r="C71" s="645"/>
      <c r="D71" s="645"/>
      <c r="E71" s="645"/>
      <c r="F71" s="645"/>
      <c r="G71" s="645"/>
      <c r="H71" s="645"/>
      <c r="I71" s="645"/>
      <c r="J71" s="645"/>
      <c r="K71" s="645"/>
      <c r="L71" s="645"/>
      <c r="M71" s="645"/>
      <c r="N71" s="645"/>
      <c r="O71" s="645"/>
      <c r="P71" s="645"/>
      <c r="Q71" s="645"/>
      <c r="R71" s="645"/>
      <c r="S71" s="645"/>
      <c r="T71" s="645"/>
      <c r="U71" s="645"/>
      <c r="V71" s="645"/>
      <c r="W71" s="645"/>
      <c r="X71" s="645"/>
      <c r="Y71" s="645"/>
      <c r="Z71" s="645"/>
      <c r="AA71" s="645"/>
      <c r="AB71" s="645"/>
      <c r="AC71" s="84"/>
      <c r="AD71" s="84"/>
      <c r="AE71" s="84"/>
      <c r="AF71" s="84"/>
      <c r="AG71" s="84"/>
      <c r="AH71" s="84"/>
      <c r="AI71" s="85"/>
      <c r="AJ71" s="85"/>
      <c r="AK71" s="85"/>
      <c r="AL71" s="85"/>
      <c r="AM71" s="85"/>
      <c r="AN71" s="647"/>
      <c r="AO71" s="625"/>
      <c r="AP71" s="625"/>
      <c r="AQ71" s="625">
        <f>AQ25/2</f>
        <v>10935400.950350054</v>
      </c>
      <c r="AR71" s="625">
        <f>AQ25</f>
        <v>21870801.900700107</v>
      </c>
      <c r="AS71" s="625">
        <f t="shared" si="28"/>
        <v>21870801.900700107</v>
      </c>
      <c r="AT71" s="83">
        <f t="shared" si="21"/>
        <v>54677004.751750268</v>
      </c>
      <c r="AU71" s="87"/>
    </row>
    <row r="72" spans="1:47" s="411" customFormat="1" ht="12.75" x14ac:dyDescent="0.2">
      <c r="B72" s="646">
        <v>2022</v>
      </c>
      <c r="C72" s="645"/>
      <c r="D72" s="645"/>
      <c r="E72" s="645"/>
      <c r="F72" s="645"/>
      <c r="G72" s="645"/>
      <c r="H72" s="645"/>
      <c r="I72" s="645"/>
      <c r="J72" s="645"/>
      <c r="K72" s="645"/>
      <c r="L72" s="645"/>
      <c r="M72" s="645"/>
      <c r="N72" s="645"/>
      <c r="O72" s="645"/>
      <c r="P72" s="645"/>
      <c r="Q72" s="645"/>
      <c r="R72" s="645"/>
      <c r="S72" s="645"/>
      <c r="T72" s="645"/>
      <c r="U72" s="645"/>
      <c r="V72" s="645"/>
      <c r="W72" s="645"/>
      <c r="X72" s="645"/>
      <c r="Y72" s="645"/>
      <c r="Z72" s="645"/>
      <c r="AA72" s="645"/>
      <c r="AB72" s="645"/>
      <c r="AC72" s="84"/>
      <c r="AD72" s="84"/>
      <c r="AE72" s="84"/>
      <c r="AF72" s="84"/>
      <c r="AG72" s="84"/>
      <c r="AH72" s="84"/>
      <c r="AI72" s="85"/>
      <c r="AJ72" s="85"/>
      <c r="AK72" s="85"/>
      <c r="AL72" s="85"/>
      <c r="AM72" s="85"/>
      <c r="AN72" s="647"/>
      <c r="AO72" s="625"/>
      <c r="AP72" s="625"/>
      <c r="AQ72" s="625"/>
      <c r="AR72" s="625">
        <f>AR25/2</f>
        <v>17973304.804355085</v>
      </c>
      <c r="AS72" s="625">
        <f>AR25</f>
        <v>35946609.60871017</v>
      </c>
      <c r="AT72" s="83">
        <f t="shared" si="21"/>
        <v>53919914.413065255</v>
      </c>
      <c r="AU72" s="87"/>
    </row>
    <row r="73" spans="1:47" s="411" customFormat="1" ht="13.5" thickBot="1" x14ac:dyDescent="0.25">
      <c r="B73" s="646">
        <v>2023</v>
      </c>
      <c r="C73" s="645"/>
      <c r="D73" s="645"/>
      <c r="E73" s="645"/>
      <c r="F73" s="645"/>
      <c r="G73" s="645"/>
      <c r="H73" s="645"/>
      <c r="I73" s="645"/>
      <c r="J73" s="645"/>
      <c r="K73" s="645"/>
      <c r="L73" s="645"/>
      <c r="M73" s="645"/>
      <c r="N73" s="645"/>
      <c r="O73" s="645"/>
      <c r="P73" s="645"/>
      <c r="Q73" s="645"/>
      <c r="R73" s="645"/>
      <c r="S73" s="645"/>
      <c r="T73" s="645"/>
      <c r="U73" s="645"/>
      <c r="V73" s="645"/>
      <c r="W73" s="645"/>
      <c r="X73" s="645"/>
      <c r="Y73" s="645"/>
      <c r="Z73" s="645"/>
      <c r="AA73" s="645"/>
      <c r="AB73" s="645"/>
      <c r="AC73" s="84"/>
      <c r="AD73" s="84"/>
      <c r="AE73" s="84"/>
      <c r="AF73" s="84"/>
      <c r="AG73" s="84"/>
      <c r="AH73" s="84"/>
      <c r="AI73" s="85"/>
      <c r="AJ73" s="85"/>
      <c r="AK73" s="85"/>
      <c r="AL73" s="85"/>
      <c r="AM73" s="85"/>
      <c r="AN73" s="647"/>
      <c r="AO73" s="625"/>
      <c r="AP73" s="625"/>
      <c r="AQ73" s="625"/>
      <c r="AR73" s="625"/>
      <c r="AS73" s="625">
        <f>AS25/2</f>
        <v>16982311.472772092</v>
      </c>
      <c r="AT73" s="83">
        <f t="shared" si="21"/>
        <v>16982311.472772092</v>
      </c>
      <c r="AU73" s="87"/>
    </row>
    <row r="74" spans="1:47" s="411" customFormat="1" ht="13.5" thickBot="1" x14ac:dyDescent="0.25">
      <c r="A74" s="648"/>
      <c r="B74" s="649" t="s">
        <v>199</v>
      </c>
      <c r="C74" s="200">
        <f t="shared" ref="C74:AN74" si="29">SUM(C31:C68)</f>
        <v>133547.58561088907</v>
      </c>
      <c r="D74" s="200">
        <f t="shared" si="29"/>
        <v>5680431.0251701418</v>
      </c>
      <c r="E74" s="200">
        <f t="shared" si="29"/>
        <v>18469941.665766448</v>
      </c>
      <c r="F74" s="200">
        <f t="shared" si="29"/>
        <v>42937413.848979153</v>
      </c>
      <c r="G74" s="200">
        <f t="shared" si="29"/>
        <v>82778703.683698818</v>
      </c>
      <c r="H74" s="200">
        <f t="shared" si="29"/>
        <v>127456693.31316842</v>
      </c>
      <c r="I74" s="200">
        <f t="shared" si="29"/>
        <v>169978884.08771741</v>
      </c>
      <c r="J74" s="200">
        <f t="shared" si="29"/>
        <v>206459077.45489901</v>
      </c>
      <c r="K74" s="200">
        <f t="shared" si="29"/>
        <v>234687191.85481259</v>
      </c>
      <c r="L74" s="200">
        <f t="shared" si="29"/>
        <v>260779447.98530844</v>
      </c>
      <c r="M74" s="200">
        <f t="shared" si="29"/>
        <v>313537494.86874801</v>
      </c>
      <c r="N74" s="200">
        <f t="shared" si="29"/>
        <v>384259640.81235826</v>
      </c>
      <c r="O74" s="200">
        <f t="shared" si="29"/>
        <v>462647406.82726592</v>
      </c>
      <c r="P74" s="200">
        <f t="shared" si="29"/>
        <v>562916985.52446806</v>
      </c>
      <c r="Q74" s="200">
        <f t="shared" si="29"/>
        <v>674558199.28146279</v>
      </c>
      <c r="R74" s="200">
        <f t="shared" si="29"/>
        <v>829895502.06926656</v>
      </c>
      <c r="S74" s="200">
        <f t="shared" si="29"/>
        <v>1048080571.3570704</v>
      </c>
      <c r="T74" s="200">
        <f t="shared" si="29"/>
        <v>1249522242.8570704</v>
      </c>
      <c r="U74" s="200">
        <f t="shared" si="29"/>
        <v>1413819582.3570704</v>
      </c>
      <c r="V74" s="200">
        <f t="shared" si="29"/>
        <v>1563515883.3570704</v>
      </c>
      <c r="W74" s="200">
        <f t="shared" si="29"/>
        <v>1687259741.3570704</v>
      </c>
      <c r="X74" s="200">
        <f t="shared" si="29"/>
        <v>1808746263.3570704</v>
      </c>
      <c r="Y74" s="200">
        <f t="shared" si="29"/>
        <v>1918044361.8570704</v>
      </c>
      <c r="Z74" s="200">
        <f t="shared" si="29"/>
        <v>2012935491.9569762</v>
      </c>
      <c r="AA74" s="200">
        <f t="shared" si="29"/>
        <v>2111634013.5341716</v>
      </c>
      <c r="AB74" s="200">
        <f t="shared" si="29"/>
        <v>2214615101.4145241</v>
      </c>
      <c r="AC74" s="200">
        <f t="shared" si="29"/>
        <v>2298332876.7838545</v>
      </c>
      <c r="AD74" s="200">
        <f t="shared" si="29"/>
        <v>2384238042.4423194</v>
      </c>
      <c r="AE74" s="200">
        <f t="shared" si="29"/>
        <v>2488010771.2845683</v>
      </c>
      <c r="AF74" s="200">
        <f t="shared" si="29"/>
        <v>2606604905.2539282</v>
      </c>
      <c r="AG74" s="200">
        <f t="shared" si="29"/>
        <v>2775159053.5022392</v>
      </c>
      <c r="AH74" s="200">
        <f t="shared" si="29"/>
        <v>2943563659.4954424</v>
      </c>
      <c r="AI74" s="200">
        <f t="shared" si="29"/>
        <v>3083304822.6793652</v>
      </c>
      <c r="AJ74" s="200">
        <f t="shared" si="29"/>
        <v>3229417393.280539</v>
      </c>
      <c r="AK74" s="200">
        <f t="shared" si="29"/>
        <v>3360031021.7619896</v>
      </c>
      <c r="AL74" s="200">
        <f t="shared" si="29"/>
        <v>3425073392.4229894</v>
      </c>
      <c r="AM74" s="200">
        <f t="shared" si="29"/>
        <v>3448104037.4408898</v>
      </c>
      <c r="AN74" s="200">
        <f t="shared" si="29"/>
        <v>3471111194.3726945</v>
      </c>
      <c r="AO74" s="200">
        <f>SUM(AO31:AO73)</f>
        <v>3493152449.8898349</v>
      </c>
      <c r="AP74" s="200">
        <f t="shared" ref="AP74:AS74" si="30">SUM(AP31:AP73)</f>
        <v>3514298466.0705199</v>
      </c>
      <c r="AQ74" s="200">
        <f t="shared" si="30"/>
        <v>3535540510.2593203</v>
      </c>
      <c r="AR74" s="200">
        <f t="shared" si="30"/>
        <v>3564449216.0140252</v>
      </c>
      <c r="AS74" s="200">
        <f t="shared" si="30"/>
        <v>3599404832.2911525</v>
      </c>
      <c r="AT74" s="650">
        <f>SUM(AT31:AT73)</f>
        <v>74625146460.539536</v>
      </c>
    </row>
    <row r="75" spans="1:47" ht="12.75" x14ac:dyDescent="0.2">
      <c r="B75" s="411"/>
      <c r="D75" s="411"/>
      <c r="E75" s="429"/>
      <c r="F75" s="411"/>
      <c r="G75" s="429"/>
      <c r="H75" s="411"/>
      <c r="I75" s="429"/>
      <c r="J75" s="411"/>
      <c r="K75" s="411"/>
      <c r="L75" s="411"/>
      <c r="M75" s="411"/>
      <c r="N75" s="411"/>
      <c r="O75" s="411"/>
      <c r="P75" s="411"/>
      <c r="Q75" s="411"/>
      <c r="R75" s="411"/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1"/>
      <c r="AH75" s="411"/>
      <c r="AI75" s="651"/>
      <c r="AJ75" s="651"/>
      <c r="AK75" s="651"/>
      <c r="AL75" s="651"/>
      <c r="AM75" s="651"/>
      <c r="AN75" s="651"/>
      <c r="AO75" s="651"/>
      <c r="AP75" s="651"/>
      <c r="AQ75" s="651"/>
      <c r="AR75" s="651"/>
      <c r="AS75" s="651"/>
      <c r="AT75" s="339">
        <f>SUM(AT31:AT73)</f>
        <v>74625146460.539536</v>
      </c>
    </row>
    <row r="76" spans="1:47" ht="12.75" x14ac:dyDescent="0.2">
      <c r="B76" s="411"/>
      <c r="C76" s="648"/>
      <c r="D76" s="411"/>
      <c r="E76" s="429"/>
      <c r="F76" s="411"/>
      <c r="G76" s="429"/>
      <c r="H76" s="411"/>
      <c r="I76" s="429"/>
      <c r="J76" s="411"/>
      <c r="K76" s="411"/>
      <c r="L76" s="411"/>
      <c r="M76" s="411"/>
      <c r="N76" s="411"/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652"/>
      <c r="AH76" s="652"/>
      <c r="AI76" s="652"/>
      <c r="AJ76" s="652"/>
      <c r="AK76" s="652"/>
      <c r="AL76" s="652"/>
      <c r="AM76" s="652"/>
      <c r="AN76" s="652"/>
      <c r="AO76" s="652"/>
      <c r="AP76" s="652"/>
      <c r="AQ76" s="652"/>
      <c r="AR76" s="652"/>
      <c r="AS76" s="652"/>
      <c r="AT76" s="339"/>
    </row>
    <row r="77" spans="1:47" ht="12.75" x14ac:dyDescent="0.2">
      <c r="B77" s="411"/>
      <c r="C77" s="648"/>
      <c r="D77" s="411"/>
      <c r="E77" s="429"/>
      <c r="F77" s="411"/>
      <c r="G77" s="429"/>
      <c r="H77" s="411"/>
      <c r="I77" s="429"/>
      <c r="J77" s="411"/>
      <c r="K77" s="411"/>
      <c r="L77" s="411"/>
      <c r="M77" s="411"/>
      <c r="N77" s="411"/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  <c r="AH77" s="411"/>
      <c r="AI77" s="651"/>
      <c r="AJ77" s="651"/>
      <c r="AK77" s="651"/>
      <c r="AL77" s="651"/>
      <c r="AM77" s="651"/>
      <c r="AN77" s="651"/>
      <c r="AO77" s="651"/>
      <c r="AP77" s="651"/>
      <c r="AQ77" s="651"/>
      <c r="AR77" s="651"/>
      <c r="AS77" s="651"/>
      <c r="AT77" s="339"/>
    </row>
    <row r="78" spans="1:47" ht="12.75" x14ac:dyDescent="0.2">
      <c r="B78" s="411"/>
      <c r="C78" s="648"/>
      <c r="D78" s="411"/>
      <c r="E78" s="429"/>
      <c r="F78" s="411"/>
      <c r="G78" s="429"/>
      <c r="H78" s="411"/>
      <c r="I78" s="429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E78" s="411"/>
      <c r="AF78" s="411"/>
      <c r="AG78" s="411"/>
      <c r="AH78" s="411"/>
      <c r="AI78" s="651"/>
      <c r="AJ78" s="651"/>
      <c r="AK78" s="651"/>
      <c r="AL78" s="651"/>
      <c r="AM78" s="651"/>
      <c r="AN78" s="651"/>
      <c r="AO78" s="651"/>
      <c r="AP78" s="651"/>
      <c r="AQ78" s="651"/>
      <c r="AR78" s="651"/>
      <c r="AS78" s="651"/>
      <c r="AT78" s="339"/>
    </row>
    <row r="79" spans="1:47" ht="12.75" x14ac:dyDescent="0.2">
      <c r="B79" s="411"/>
      <c r="C79" s="411">
        <v>1981</v>
      </c>
      <c r="D79" s="307">
        <v>1982</v>
      </c>
      <c r="E79" s="307">
        <v>1983</v>
      </c>
      <c r="F79" s="307">
        <v>1984</v>
      </c>
      <c r="G79" s="307">
        <v>1985</v>
      </c>
      <c r="H79" s="307">
        <v>1986</v>
      </c>
      <c r="I79" s="307">
        <v>1987</v>
      </c>
      <c r="J79" s="307">
        <v>1988</v>
      </c>
      <c r="K79" s="307">
        <v>1989</v>
      </c>
      <c r="L79" s="307">
        <v>1990</v>
      </c>
      <c r="M79" s="307">
        <v>1991</v>
      </c>
      <c r="N79" s="307">
        <v>1992</v>
      </c>
      <c r="O79" s="307">
        <v>1993</v>
      </c>
      <c r="P79" s="307">
        <v>1994</v>
      </c>
      <c r="Q79" s="307">
        <v>1995</v>
      </c>
      <c r="R79" s="307">
        <v>1996</v>
      </c>
      <c r="S79" s="307">
        <v>1997</v>
      </c>
      <c r="T79" s="307">
        <v>1998</v>
      </c>
      <c r="U79" s="307">
        <v>1999</v>
      </c>
      <c r="V79" s="307">
        <v>2000</v>
      </c>
      <c r="W79" s="307">
        <v>2001</v>
      </c>
      <c r="X79" s="307">
        <v>2002</v>
      </c>
      <c r="Y79" s="307">
        <v>2003</v>
      </c>
      <c r="Z79" s="307">
        <v>2004</v>
      </c>
      <c r="AA79" s="307">
        <v>2005</v>
      </c>
      <c r="AB79" s="307">
        <v>2006</v>
      </c>
      <c r="AC79" s="307">
        <v>2007</v>
      </c>
      <c r="AD79" s="307">
        <v>2008</v>
      </c>
      <c r="AE79" s="307">
        <v>2009</v>
      </c>
      <c r="AF79" s="307">
        <v>2010</v>
      </c>
      <c r="AG79" s="307">
        <v>2011</v>
      </c>
      <c r="AH79" s="307">
        <v>2012</v>
      </c>
      <c r="AI79" s="307">
        <v>2013</v>
      </c>
      <c r="AJ79" s="307">
        <v>2014</v>
      </c>
      <c r="AK79" s="307">
        <v>2015</v>
      </c>
      <c r="AL79" s="307">
        <v>2016</v>
      </c>
      <c r="AM79" s="307">
        <v>2017</v>
      </c>
      <c r="AN79" s="307">
        <v>2018</v>
      </c>
      <c r="AO79" s="307">
        <v>2019</v>
      </c>
      <c r="AP79" s="307">
        <v>2020</v>
      </c>
      <c r="AQ79" s="307">
        <v>2021</v>
      </c>
      <c r="AR79" s="307">
        <v>2022</v>
      </c>
      <c r="AS79" s="307">
        <v>2023</v>
      </c>
      <c r="AT79" s="307" t="s">
        <v>199</v>
      </c>
    </row>
    <row r="80" spans="1:47" ht="12.75" x14ac:dyDescent="0.2">
      <c r="B80" s="307" t="s">
        <v>54</v>
      </c>
      <c r="C80" s="653">
        <f>+C6/2</f>
        <v>0</v>
      </c>
      <c r="D80" s="653">
        <f>+SUM($C6:C6)+D6/2</f>
        <v>0</v>
      </c>
      <c r="E80" s="653">
        <f>+SUM($C6:D6)+E6/2</f>
        <v>0</v>
      </c>
      <c r="F80" s="653">
        <f>+SUM($C6:E6)+F6/2</f>
        <v>0</v>
      </c>
      <c r="G80" s="653">
        <f>+SUM($C6:F6)+G6/2</f>
        <v>0</v>
      </c>
      <c r="H80" s="653">
        <f>+SUM($C6:G6)+H6/2</f>
        <v>0</v>
      </c>
      <c r="I80" s="653">
        <f>+SUM($C6:H6)+I6/2</f>
        <v>0</v>
      </c>
      <c r="J80" s="653">
        <f>+SUM($C6:I6)+J6/2</f>
        <v>0</v>
      </c>
      <c r="K80" s="653">
        <f>+SUM($C6:J6)+K6/2</f>
        <v>0</v>
      </c>
      <c r="L80" s="653">
        <f>+SUM($C6:K6)+L6/2</f>
        <v>0</v>
      </c>
      <c r="M80" s="653">
        <f>+SUM($C6:L6)+M6/2</f>
        <v>0</v>
      </c>
      <c r="N80" s="653">
        <f>+SUM($C6:M6)+N6/2</f>
        <v>0</v>
      </c>
      <c r="O80" s="653">
        <f>+SUM($C6:N6)+O6/2</f>
        <v>0</v>
      </c>
      <c r="P80" s="653">
        <f>+SUM($C6:O6)+P6/2</f>
        <v>0</v>
      </c>
      <c r="Q80" s="653">
        <f>+SUM($C6:P6)+Q6/2</f>
        <v>0</v>
      </c>
      <c r="R80" s="653">
        <f>+SUM($C6:Q6)+R6/2</f>
        <v>0</v>
      </c>
      <c r="S80" s="653">
        <f>+SUM($C6:R6)+S6/2</f>
        <v>0</v>
      </c>
      <c r="T80" s="653">
        <f>+SUM($C6:S6)+T6/2</f>
        <v>248734.5</v>
      </c>
      <c r="U80" s="653">
        <f>+SUM($C6:T6)+U6/2</f>
        <v>736573</v>
      </c>
      <c r="V80" s="653">
        <f>+SUM($C6:U6)+V6/2</f>
        <v>1463723.5</v>
      </c>
      <c r="W80" s="653">
        <f>+SUM($C6:V6)+W6/2</f>
        <v>2793669.5</v>
      </c>
      <c r="X80" s="653">
        <f>+SUM($C6:W6)+X6/2</f>
        <v>4514288</v>
      </c>
      <c r="Y80" s="653">
        <f>+SUM($C6:X6)+Y6/2</f>
        <v>6571533</v>
      </c>
      <c r="Z80" s="653">
        <f>+SUM($C6:Y6)+Z6/2</f>
        <v>9719477.5689000413</v>
      </c>
      <c r="AA80" s="653">
        <f>+SUM($C6:Z6)+AA6/2</f>
        <v>14063064.819573823</v>
      </c>
      <c r="AB80" s="653">
        <f>+SUM($C6:AA6)+AB6/2</f>
        <v>20680295.439229634</v>
      </c>
      <c r="AC80" s="653">
        <f>+SUM($C6:AB6)+AC6/2</f>
        <v>29161036.722649172</v>
      </c>
      <c r="AD80" s="653">
        <f>+SUM($C6:AC6)+AD6/2</f>
        <v>35785034.616911046</v>
      </c>
      <c r="AE80" s="653">
        <f>+SUM($C6:AD6)+AE6/2</f>
        <v>39696323.434357926</v>
      </c>
      <c r="AF80" s="653">
        <f>+SUM($C6:AE6)+AF6/2</f>
        <v>43155515.545521207</v>
      </c>
      <c r="AG80" s="653">
        <f>+SUM($C6:AF6)+AG6/2</f>
        <v>47038228.151217245</v>
      </c>
      <c r="AH80" s="653">
        <f>+SUM($C6:AG6)+AH6/2</f>
        <v>51094417.814403467</v>
      </c>
      <c r="AI80" s="653">
        <f>+SUM($C6:AH6)+AI6/2</f>
        <v>54771856.468554452</v>
      </c>
      <c r="AJ80" s="653">
        <f>+SUM($C6:AI6)+AJ6/2</f>
        <v>58584916.661887169</v>
      </c>
      <c r="AK80" s="653">
        <f>+SUM($C6:AJ6)+AK6/2</f>
        <v>62963237.100999884</v>
      </c>
      <c r="AL80" s="653">
        <f>+SUM($C6:AK6)+AL6/2</f>
        <v>66478330.042184882</v>
      </c>
      <c r="AM80" s="653">
        <f>+SUM($C6:AL6)+AM6/2</f>
        <v>69341838.233369887</v>
      </c>
      <c r="AN80" s="653">
        <f>+SUM($C6:AM6)+AN6/2</f>
        <v>72742296.990319893</v>
      </c>
      <c r="AO80" s="653">
        <f>+SUM($C6:AN6)+AO6/2</f>
        <v>76615227.902819887</v>
      </c>
      <c r="AP80" s="653">
        <f>+SUM($C6:AO6)+AP6/2</f>
        <v>80511850.213369891</v>
      </c>
      <c r="AQ80" s="653">
        <f>+SUM($C6:AP6)+AQ6/2</f>
        <v>84514812.737369895</v>
      </c>
      <c r="AR80" s="653">
        <f>+SUM($C6:AQ6)+AR6/2</f>
        <v>89127451.571969897</v>
      </c>
      <c r="AS80" s="653">
        <f>+SUM($C6:AR6)+AS6/2</f>
        <v>93655348.070969895</v>
      </c>
      <c r="AT80" s="653">
        <f t="shared" ref="AT80:AT95" si="31">SUM(C80:AS80)</f>
        <v>1116029081.6065791</v>
      </c>
    </row>
    <row r="81" spans="2:47" ht="12.75" x14ac:dyDescent="0.2">
      <c r="B81" s="307" t="s">
        <v>16</v>
      </c>
      <c r="C81" s="653">
        <f t="shared" ref="C81:C86" si="32">+C8/2</f>
        <v>133547.58561088907</v>
      </c>
      <c r="D81" s="653">
        <f t="shared" ref="D81:D86" si="33">+C81*2+D8/2</f>
        <v>5680431.0251701418</v>
      </c>
      <c r="E81" s="653">
        <f>+SUM($C8:D8)+E8/2</f>
        <v>18469941.665766448</v>
      </c>
      <c r="F81" s="653">
        <f>+SUM($C8:E8)+F8/2</f>
        <v>42937413.848979153</v>
      </c>
      <c r="G81" s="653">
        <f>+SUM($C8:F8)+G8/2</f>
        <v>82778703.683698818</v>
      </c>
      <c r="H81" s="653">
        <f>+SUM($C8:G8)+H8/2</f>
        <v>127456693.31316842</v>
      </c>
      <c r="I81" s="653">
        <f>+SUM($C8:H8)+I8/2</f>
        <v>169978884.08771741</v>
      </c>
      <c r="J81" s="653">
        <f>+SUM($C8:I8)+J8/2</f>
        <v>206459077.45489901</v>
      </c>
      <c r="K81" s="653">
        <f>+SUM($C8:J8)+K8/2</f>
        <v>234687191.85481259</v>
      </c>
      <c r="L81" s="653">
        <f>+SUM($C8:K8)+L8/2</f>
        <v>260779447.98530844</v>
      </c>
      <c r="M81" s="653">
        <f>+SUM($C8:L8)+M8/2</f>
        <v>282163570.27114618</v>
      </c>
      <c r="N81" s="653">
        <f>+SUM($C8:M8)+N8/2</f>
        <v>300247946.4189263</v>
      </c>
      <c r="O81" s="653">
        <f>+SUM($C8:N8)+O8/2</f>
        <v>316891846.7105974</v>
      </c>
      <c r="P81" s="653">
        <f>+SUM($C8:O8)+P8/2</f>
        <v>329007513.23322892</v>
      </c>
      <c r="Q81" s="653">
        <f>+SUM($C8:P8)+Q8/2</f>
        <v>339955095.84066117</v>
      </c>
      <c r="R81" s="653">
        <f>+SUM($C8:Q8)+R8/2</f>
        <v>360313866.34066117</v>
      </c>
      <c r="S81" s="653">
        <f>+SUM($C8:R8)+S8/2</f>
        <v>396508774.34066117</v>
      </c>
      <c r="T81" s="653">
        <f>+SUM($C8:S8)+T8/2</f>
        <v>426035969.84066117</v>
      </c>
      <c r="U81" s="653">
        <f>+SUM($C8:T8)+U8/2</f>
        <v>439310043.84066117</v>
      </c>
      <c r="V81" s="653">
        <f>+SUM($C8:U8)+V8/2</f>
        <v>447851508.84066117</v>
      </c>
      <c r="W81" s="653">
        <f>+SUM($C8:V8)+W8/2</f>
        <v>459909417.84066117</v>
      </c>
      <c r="X81" s="653">
        <f>+SUM($C8:W8)+X8/2</f>
        <v>477488290.84066117</v>
      </c>
      <c r="Y81" s="653">
        <f>+SUM($C8:X8)+Y8/2</f>
        <v>492534209.84066117</v>
      </c>
      <c r="Z81" s="653">
        <f>+SUM($C8:Y8)+Z8/2</f>
        <v>500958029.01267791</v>
      </c>
      <c r="AA81" s="653">
        <f>+SUM($C8:Z8)+AA8/2</f>
        <v>505260988.61440504</v>
      </c>
      <c r="AB81" s="653">
        <f>+SUM($C8:AA8)+AB8/2</f>
        <v>508116770.85452908</v>
      </c>
      <c r="AC81" s="653">
        <f>+SUM($C8:AB8)+AC8/2</f>
        <v>512689803.20048791</v>
      </c>
      <c r="AD81" s="653">
        <f>+SUM($C8:AC8)+AD8/2</f>
        <v>518683639.89415485</v>
      </c>
      <c r="AE81" s="653">
        <f>+SUM($C8:AD8)+AE8/2</f>
        <v>524011884.23349446</v>
      </c>
      <c r="AF81" s="653">
        <f>+SUM($C8:AE8)+AF8/2</f>
        <v>529835733.36612397</v>
      </c>
      <c r="AG81" s="653">
        <f>+SUM($C8:AF8)+AG8/2</f>
        <v>536043739.8888914</v>
      </c>
      <c r="AH81" s="653">
        <f>+SUM($C8:AG8)+AH8/2</f>
        <v>540915622.4602468</v>
      </c>
      <c r="AI81" s="653">
        <f>+SUM($C8:AH8)+AI8/2</f>
        <v>544469949.3145268</v>
      </c>
      <c r="AJ81" s="653">
        <f>+SUM($C8:AI8)+AJ8/2</f>
        <v>547772842.57467902</v>
      </c>
      <c r="AK81" s="653">
        <f>+SUM($C8:AJ8)+AK8/2</f>
        <v>551716408.98055124</v>
      </c>
      <c r="AL81" s="653">
        <f>+SUM($C8:AK8)+AL8/2</f>
        <v>555218146.46151626</v>
      </c>
      <c r="AM81" s="303">
        <f>+SUM($C8:AL8)+AM8/2</f>
        <v>557794432.33635628</v>
      </c>
      <c r="AN81" s="653">
        <f>+SUM($C8:AM8)+AN8/2</f>
        <v>560403767.76708126</v>
      </c>
      <c r="AO81" s="653">
        <f>+SUM($C8:AN8)+AO8/2</f>
        <v>563151140.67778122</v>
      </c>
      <c r="AP81" s="653">
        <f>+SUM($C8:AO8)+AP8/2</f>
        <v>565160104.34263122</v>
      </c>
      <c r="AQ81" s="653">
        <f>+SUM($C8:AP8)+AQ8/2</f>
        <v>566318801.56738126</v>
      </c>
      <c r="AR81" s="653">
        <f>+SUM($C8:AQ8)+AR8/2</f>
        <v>568594635.92433119</v>
      </c>
      <c r="AS81" s="653">
        <f>+SUM($C8:AR8)+AS8/2</f>
        <v>573252932.02193117</v>
      </c>
      <c r="AT81" s="653">
        <f t="shared" si="31"/>
        <v>17047948760.198755</v>
      </c>
    </row>
    <row r="82" spans="2:47" ht="12.75" x14ac:dyDescent="0.2">
      <c r="B82" s="307" t="s">
        <v>56</v>
      </c>
      <c r="C82" s="653">
        <f t="shared" si="32"/>
        <v>0</v>
      </c>
      <c r="D82" s="653">
        <f t="shared" si="33"/>
        <v>0</v>
      </c>
      <c r="E82" s="653">
        <f>+SUM($C9:D9)+E9/2</f>
        <v>0</v>
      </c>
      <c r="F82" s="653">
        <f>+SUM($C9:E9)+F9/2</f>
        <v>0</v>
      </c>
      <c r="G82" s="653">
        <f>+SUM($C9:F9)+G9/2</f>
        <v>0</v>
      </c>
      <c r="H82" s="653">
        <f>+SUM($C9:G9)+H9/2</f>
        <v>0</v>
      </c>
      <c r="I82" s="653">
        <f>+SUM($C9:H9)+I9/2</f>
        <v>0</v>
      </c>
      <c r="J82" s="653">
        <f>+SUM($C9:I9)+J9/2</f>
        <v>0</v>
      </c>
      <c r="K82" s="653">
        <f>+SUM($C9:J9)+K9/2</f>
        <v>0</v>
      </c>
      <c r="L82" s="653">
        <f>+SUM($C9:K9)+L9/2</f>
        <v>0</v>
      </c>
      <c r="M82" s="653">
        <f>+SUM($C9:L9)+M9/2</f>
        <v>0</v>
      </c>
      <c r="N82" s="653">
        <f>+SUM($C9:M9)+N9/2</f>
        <v>0</v>
      </c>
      <c r="O82" s="653">
        <f>+SUM($C9:N9)+O9/2</f>
        <v>0</v>
      </c>
      <c r="P82" s="653">
        <f>+SUM($C9:O9)+P9/2</f>
        <v>0</v>
      </c>
      <c r="Q82" s="653">
        <f>+SUM($C9:P9)+Q9/2</f>
        <v>0</v>
      </c>
      <c r="R82" s="653">
        <f>+SUM($C9:Q9)+R9/2</f>
        <v>0</v>
      </c>
      <c r="S82" s="653">
        <f>+SUM($C9:R9)+S9/2</f>
        <v>0</v>
      </c>
      <c r="T82" s="653">
        <f>+SUM($C9:S9)+T9/2</f>
        <v>0</v>
      </c>
      <c r="U82" s="653">
        <f>+SUM($C9:T9)+U9/2</f>
        <v>0</v>
      </c>
      <c r="V82" s="653">
        <f>+SUM($C9:U9)+V9/2</f>
        <v>0</v>
      </c>
      <c r="W82" s="653">
        <f>+SUM($C9:V9)+W9/2</f>
        <v>0</v>
      </c>
      <c r="X82" s="653">
        <f>+SUM($C9:W9)+X9/2</f>
        <v>0</v>
      </c>
      <c r="Y82" s="653">
        <f>+SUM($C9:X9)+Y9/2</f>
        <v>0</v>
      </c>
      <c r="Z82" s="653">
        <f>+SUM($C9:Y9)+Z9/2</f>
        <v>0</v>
      </c>
      <c r="AA82" s="653">
        <f>+SUM($C9:Z9)+AA9/2</f>
        <v>0</v>
      </c>
      <c r="AB82" s="653">
        <f>+SUM($C9:AA9)+AB9/2</f>
        <v>0</v>
      </c>
      <c r="AC82" s="653">
        <f>+SUM($C9:AB9)+AC9/2</f>
        <v>2625655.9672554932</v>
      </c>
      <c r="AD82" s="653">
        <f>+SUM($C9:AC9)+AD9/2</f>
        <v>25642166.764516383</v>
      </c>
      <c r="AE82" s="653">
        <f>+SUM($C9:AD9)+AE9/2</f>
        <v>46273837.821891867</v>
      </c>
      <c r="AF82" s="653">
        <f>+SUM($C9:AE9)+AF9/2</f>
        <v>49374172.959845901</v>
      </c>
      <c r="AG82" s="653">
        <f>+SUM($C9:AF9)+AG9/2</f>
        <v>62541867.835159034</v>
      </c>
      <c r="AH82" s="653">
        <f>+SUM($C9:AG9)+AH9/2</f>
        <v>74455824.545913622</v>
      </c>
      <c r="AI82" s="653">
        <f>+SUM($C9:AH9)+AI9/2</f>
        <v>76987499.759672388</v>
      </c>
      <c r="AJ82" s="653">
        <f>+SUM($C9:AI9)+AJ9/2</f>
        <v>78895683.749630332</v>
      </c>
      <c r="AK82" s="653">
        <f>+SUM($C9:AJ9)+AK9/2</f>
        <v>80382973.271854907</v>
      </c>
      <c r="AL82" s="653">
        <f>+SUM($C9:AK9)+AL9/2</f>
        <v>80900449.647794902</v>
      </c>
      <c r="AM82" s="303">
        <f>+SUM($C9:AL9)+AM9/2</f>
        <v>80912926.023734912</v>
      </c>
      <c r="AN82" s="653">
        <f>+SUM($C9:AM9)+AN9/2</f>
        <v>80912926.023734912</v>
      </c>
      <c r="AO82" s="653">
        <f>+SUM($C9:AN9)+AO9/2</f>
        <v>80912926.023734912</v>
      </c>
      <c r="AP82" s="653">
        <f>+SUM($C9:AO9)+AP9/2</f>
        <v>80912926.023734912</v>
      </c>
      <c r="AQ82" s="653">
        <f>+SUM($C9:AP9)+AQ9/2</f>
        <v>80912926.023734912</v>
      </c>
      <c r="AR82" s="653">
        <f>+SUM($C9:AQ9)+AR9/2</f>
        <v>80912926.023734912</v>
      </c>
      <c r="AS82" s="653">
        <f>+SUM($C9:AR9)+AS9/2</f>
        <v>80912926.023734912</v>
      </c>
      <c r="AT82" s="653">
        <f t="shared" si="31"/>
        <v>1144470614.4896793</v>
      </c>
    </row>
    <row r="83" spans="2:47" ht="12.75" x14ac:dyDescent="0.2">
      <c r="B83" s="307" t="s">
        <v>57</v>
      </c>
      <c r="C83" s="653">
        <f t="shared" si="32"/>
        <v>0</v>
      </c>
      <c r="D83" s="653">
        <f t="shared" si="33"/>
        <v>0</v>
      </c>
      <c r="E83" s="653">
        <f>+SUM($C10:D10)+E10/2</f>
        <v>0</v>
      </c>
      <c r="F83" s="653">
        <f>+SUM($C10:E10)+F10/2</f>
        <v>0</v>
      </c>
      <c r="G83" s="653">
        <f>+SUM($C10:F10)+G10/2</f>
        <v>0</v>
      </c>
      <c r="H83" s="653">
        <f>+SUM($C10:G10)+H10/2</f>
        <v>0</v>
      </c>
      <c r="I83" s="653">
        <f>+SUM($C10:H10)+I10/2</f>
        <v>0</v>
      </c>
      <c r="J83" s="653">
        <f>+SUM($C10:I10)+J10/2</f>
        <v>0</v>
      </c>
      <c r="K83" s="653">
        <f>+SUM($C10:J10)+K10/2</f>
        <v>0</v>
      </c>
      <c r="L83" s="653">
        <f>+SUM($C10:K10)+L10/2</f>
        <v>0</v>
      </c>
      <c r="M83" s="653">
        <f>+SUM($C10:L10)+M10/2</f>
        <v>0</v>
      </c>
      <c r="N83" s="653">
        <f>+SUM($C10:M10)+N10/2</f>
        <v>0</v>
      </c>
      <c r="O83" s="653">
        <f>+SUM($C10:N10)+O10/2</f>
        <v>0</v>
      </c>
      <c r="P83" s="653">
        <f>+SUM($C10:O10)+P10/2</f>
        <v>0</v>
      </c>
      <c r="Q83" s="653">
        <f>+SUM($C10:P10)+Q10/2</f>
        <v>0</v>
      </c>
      <c r="R83" s="653">
        <f>+SUM($C10:Q10)+R10/2</f>
        <v>0</v>
      </c>
      <c r="S83" s="653">
        <f>+SUM($C10:R10)+S10/2</f>
        <v>0</v>
      </c>
      <c r="T83" s="653">
        <f>+SUM($C10:S10)+T10/2</f>
        <v>0</v>
      </c>
      <c r="U83" s="653">
        <f>+SUM($C10:T10)+U10/2</f>
        <v>0</v>
      </c>
      <c r="V83" s="653">
        <f>+SUM($C10:U10)+V10/2</f>
        <v>0</v>
      </c>
      <c r="W83" s="653">
        <f>+SUM($C10:V10)+W10/2</f>
        <v>0</v>
      </c>
      <c r="X83" s="653">
        <f>+SUM($C10:W10)+X10/2</f>
        <v>0</v>
      </c>
      <c r="Y83" s="653">
        <f>+SUM($C10:X10)+Y10/2</f>
        <v>0</v>
      </c>
      <c r="Z83" s="653">
        <f>+SUM($C10:Y10)+Z10/2</f>
        <v>0</v>
      </c>
      <c r="AA83" s="653">
        <f>+SUM($C10:Z10)+AA10/2</f>
        <v>0</v>
      </c>
      <c r="AB83" s="653">
        <f>+SUM($C10:AA10)+AB10/2</f>
        <v>241744.08555687589</v>
      </c>
      <c r="AC83" s="653">
        <f>+SUM($C10:AB10)+AC10/2</f>
        <v>652905.98671047739</v>
      </c>
      <c r="AD83" s="653">
        <f>+SUM($C10:AC10)+AD10/2</f>
        <v>1050234.2178495666</v>
      </c>
      <c r="AE83" s="653">
        <f>+SUM($C10:AD10)+AE10/2</f>
        <v>5290990.4392815894</v>
      </c>
      <c r="AF83" s="653">
        <f>+SUM($C10:AE10)+AF10/2</f>
        <v>9725103.7011712473</v>
      </c>
      <c r="AG83" s="653">
        <f>+SUM($C10:AF10)+AG10/2</f>
        <v>10510735.145138588</v>
      </c>
      <c r="AH83" s="653">
        <f>+SUM($C10:AG10)+AH10/2</f>
        <v>11223827.318105929</v>
      </c>
      <c r="AI83" s="653">
        <f>+SUM($C10:AH10)+AI10/2</f>
        <v>11900275.298365926</v>
      </c>
      <c r="AJ83" s="653">
        <f>+SUM($C10:AI10)+AJ10/2</f>
        <v>12660741.418819144</v>
      </c>
      <c r="AK83" s="653">
        <f>+SUM($C10:AJ10)+AK10/2</f>
        <v>13563487.744012367</v>
      </c>
      <c r="AL83" s="653">
        <f>+SUM($C10:AK10)+AL10/2</f>
        <v>14033487.744012367</v>
      </c>
      <c r="AM83" s="303">
        <f>+SUM($C10:AL10)+AM10/2</f>
        <v>14033487.744012367</v>
      </c>
      <c r="AN83" s="653">
        <f>+SUM($C10:AM10)+AN10/2</f>
        <v>14033487.744012367</v>
      </c>
      <c r="AO83" s="653">
        <f>+SUM($C10:AN10)+AO10/2</f>
        <v>14033487.744012367</v>
      </c>
      <c r="AP83" s="653">
        <f>+SUM($C10:AO10)+AP10/2</f>
        <v>14033487.744012367</v>
      </c>
      <c r="AQ83" s="653">
        <f>+SUM($C10:AP10)+AQ10/2</f>
        <v>14033487.744012367</v>
      </c>
      <c r="AR83" s="653">
        <f>+SUM($C10:AQ10)+AR10/2</f>
        <v>14033487.744012367</v>
      </c>
      <c r="AS83" s="653">
        <f>+SUM($C10:AR10)+AS10/2</f>
        <v>14033487.744012367</v>
      </c>
      <c r="AT83" s="653">
        <f t="shared" si="31"/>
        <v>189087947.30711064</v>
      </c>
    </row>
    <row r="84" spans="2:47" ht="12.75" x14ac:dyDescent="0.2">
      <c r="B84" s="307" t="s">
        <v>111</v>
      </c>
      <c r="C84" s="653">
        <f t="shared" si="32"/>
        <v>0</v>
      </c>
      <c r="D84" s="653">
        <f t="shared" si="33"/>
        <v>0</v>
      </c>
      <c r="E84" s="653">
        <f>+SUM($C11:D11)+E11/2</f>
        <v>0</v>
      </c>
      <c r="F84" s="653">
        <f>+SUM($C11:E11)+F11/2</f>
        <v>0</v>
      </c>
      <c r="G84" s="653">
        <f>+SUM($C11:F11)+G11/2</f>
        <v>0</v>
      </c>
      <c r="H84" s="653">
        <f>+SUM($C11:G11)+H11/2</f>
        <v>0</v>
      </c>
      <c r="I84" s="653">
        <f>+SUM($C11:H11)+I11/2</f>
        <v>0</v>
      </c>
      <c r="J84" s="653">
        <f>+SUM($C11:I11)+J11/2</f>
        <v>0</v>
      </c>
      <c r="K84" s="653">
        <f>+SUM($C11:J11)+K11/2</f>
        <v>0</v>
      </c>
      <c r="L84" s="653">
        <f>+SUM($C11:K11)+L11/2</f>
        <v>0</v>
      </c>
      <c r="M84" s="653">
        <f>+SUM($C11:L11)+M11/2</f>
        <v>2561556.1196932052</v>
      </c>
      <c r="N84" s="653">
        <f>+SUM($C11:M11)+N11/2</f>
        <v>7395257.6428648587</v>
      </c>
      <c r="O84" s="653">
        <f>+SUM($C11:N11)+O11/2</f>
        <v>9789880.090742141</v>
      </c>
      <c r="P84" s="653">
        <f>+SUM($C11:O11)+P11/2</f>
        <v>10030419.682402506</v>
      </c>
      <c r="Q84" s="653">
        <f>+SUM($C11:P11)+Q11/2</f>
        <v>10259536.229664037</v>
      </c>
      <c r="R84" s="653">
        <f>+SUM($C11:Q11)+R11/2</f>
        <v>10370590.229664037</v>
      </c>
      <c r="S84" s="653">
        <f>+SUM($C11:R11)+S11/2</f>
        <v>10370590.229664037</v>
      </c>
      <c r="T84" s="653">
        <f>+SUM($C11:S11)+T11/2</f>
        <v>10370590.229664037</v>
      </c>
      <c r="U84" s="653">
        <f>+SUM($C11:T11)+U11/2</f>
        <v>10370590.229664037</v>
      </c>
      <c r="V84" s="653">
        <f>+SUM($C11:U11)+V11/2</f>
        <v>10370590.229664037</v>
      </c>
      <c r="W84" s="653">
        <f>+SUM($C11:V11)+W11/2</f>
        <v>10370590.229664037</v>
      </c>
      <c r="X84" s="653">
        <f>+SUM($C11:W11)+X11/2</f>
        <v>10370590.229664037</v>
      </c>
      <c r="Y84" s="653">
        <f>+SUM($C11:X11)+Y11/2</f>
        <v>10370590.229664037</v>
      </c>
      <c r="Z84" s="653">
        <f>+SUM($C11:Y11)+Z11/2</f>
        <v>10370590.229664037</v>
      </c>
      <c r="AA84" s="653">
        <f>+SUM($C11:Z11)+AA11/2</f>
        <v>10370590.229664037</v>
      </c>
      <c r="AB84" s="653">
        <f>+SUM($C11:AA11)+AB11/2</f>
        <v>10370590.229664037</v>
      </c>
      <c r="AC84" s="653">
        <f>+SUM($C11:AB11)+AC11/2</f>
        <v>10370590.229664037</v>
      </c>
      <c r="AD84" s="653">
        <f>+SUM($C11:AC11)+AD11/2</f>
        <v>10370590.229664037</v>
      </c>
      <c r="AE84" s="653">
        <f>+SUM($C11:AD11)+AE11/2</f>
        <v>10370590.229664037</v>
      </c>
      <c r="AF84" s="653">
        <f>+SUM($C11:AE11)+AF11/2</f>
        <v>10370590.229664037</v>
      </c>
      <c r="AG84" s="653">
        <f>+SUM($C11:AF11)+AG11/2</f>
        <v>10370590.229664037</v>
      </c>
      <c r="AH84" s="653">
        <f>+SUM($C11:AG11)+AH11/2</f>
        <v>10370590.229664037</v>
      </c>
      <c r="AI84" s="653">
        <f>+SUM($C11:AH11)+AI11/2</f>
        <v>10370590.229664037</v>
      </c>
      <c r="AJ84" s="653">
        <f>+SUM($C11:AI11)+AJ11/2</f>
        <v>10370590.229664037</v>
      </c>
      <c r="AK84" s="653">
        <f>+SUM($C11:AJ11)+AK11/2</f>
        <v>10370590.229664037</v>
      </c>
      <c r="AL84" s="653">
        <f>+SUM($C11:AK11)+AL11/2</f>
        <v>10370590.229664037</v>
      </c>
      <c r="AM84" s="303">
        <f>+SUM($C11:AL11)+AM11/2</f>
        <v>10370590.229664037</v>
      </c>
      <c r="AN84" s="653">
        <f>+SUM($C11:AM11)+AN11/2</f>
        <v>10370590.229664037</v>
      </c>
      <c r="AO84" s="653">
        <f>+SUM($C11:AN11)+AO11/2</f>
        <v>10370590.229664037</v>
      </c>
      <c r="AP84" s="653">
        <f>+SUM($C11:AO11)+AP11/2</f>
        <v>10370590.229664037</v>
      </c>
      <c r="AQ84" s="653">
        <f>+SUM($C11:AP11)+AQ11/2</f>
        <v>10370590.229664037</v>
      </c>
      <c r="AR84" s="653">
        <f>+SUM($C11:AQ11)+AR11/2</f>
        <v>10370590.229664037</v>
      </c>
      <c r="AS84" s="653">
        <f>+SUM($C11:AR11)+AS11/2</f>
        <v>10370590.229664037</v>
      </c>
      <c r="AT84" s="653">
        <f t="shared" si="31"/>
        <v>330413176.19595969</v>
      </c>
    </row>
    <row r="85" spans="2:47" ht="12.75" x14ac:dyDescent="0.2">
      <c r="B85" s="307" t="s">
        <v>90</v>
      </c>
      <c r="C85" s="653">
        <f t="shared" si="32"/>
        <v>0</v>
      </c>
      <c r="D85" s="653">
        <f t="shared" si="33"/>
        <v>0</v>
      </c>
      <c r="E85" s="653">
        <f>+SUM($C12:D12)+E12/2</f>
        <v>0</v>
      </c>
      <c r="F85" s="653">
        <f>+SUM($C12:E12)+F12/2</f>
        <v>0</v>
      </c>
      <c r="G85" s="653">
        <f>+SUM($C12:F12)+G12/2</f>
        <v>0</v>
      </c>
      <c r="H85" s="653">
        <f>+SUM($C12:G12)+H12/2</f>
        <v>0</v>
      </c>
      <c r="I85" s="653">
        <f>+SUM($C12:H12)+I12/2</f>
        <v>0</v>
      </c>
      <c r="J85" s="653">
        <f>+SUM($C12:I12)+J12/2</f>
        <v>0</v>
      </c>
      <c r="K85" s="653">
        <f>+SUM($C12:J12)+K12/2</f>
        <v>0</v>
      </c>
      <c r="L85" s="653">
        <f>+SUM($C12:K12)+L12/2</f>
        <v>0</v>
      </c>
      <c r="M85" s="653">
        <f>+SUM($C12:L12)+M12/2</f>
        <v>5586676.0289510647</v>
      </c>
      <c r="N85" s="653">
        <f>+SUM($C12:M12)+N12/2</f>
        <v>21240764.826617695</v>
      </c>
      <c r="O85" s="653">
        <f>+SUM($C12:N12)+O12/2</f>
        <v>60178243.491411909</v>
      </c>
      <c r="P85" s="653">
        <f>+SUM($C12:O12)+P12/2</f>
        <v>121954043.42659608</v>
      </c>
      <c r="Q85" s="653">
        <f>+SUM($C12:P12)+Q12/2</f>
        <v>194394077.46570164</v>
      </c>
      <c r="R85" s="653">
        <f>+SUM($C12:Q12)+R12/2</f>
        <v>301362201.46570164</v>
      </c>
      <c r="S85" s="653">
        <f>+SUM($C12:R12)+S12/2</f>
        <v>451603107.96570164</v>
      </c>
      <c r="T85" s="653">
        <f>+SUM($C12:S12)+T12/2</f>
        <v>597634925.96570158</v>
      </c>
      <c r="U85" s="653">
        <f>+SUM($C12:T12)+U12/2</f>
        <v>734511944.96570158</v>
      </c>
      <c r="V85" s="653">
        <f>+SUM($C12:U12)+V12/2</f>
        <v>866449428.96570158</v>
      </c>
      <c r="W85" s="653">
        <f>+SUM($C12:V12)+W12/2</f>
        <v>968844133.46570158</v>
      </c>
      <c r="X85" s="653">
        <f>+SUM($C12:W12)+X12/2</f>
        <v>1059760391.4657016</v>
      </c>
      <c r="Y85" s="653">
        <f>+SUM($C12:X12)+Y12/2</f>
        <v>1141391137.4657016</v>
      </c>
      <c r="Z85" s="653">
        <f>+SUM($C12:Y12)+Z12/2</f>
        <v>1217553795.5255592</v>
      </c>
      <c r="AA85" s="653">
        <f>+SUM($C12:Z12)+AA12/2</f>
        <v>1301948148.4301682</v>
      </c>
      <c r="AB85" s="653">
        <f>+SUM($C12:AA12)+AB12/2</f>
        <v>1389588363.5494864</v>
      </c>
      <c r="AC85" s="653">
        <f>+SUM($C12:AB12)+AC12/2</f>
        <v>1449793880.3211937</v>
      </c>
      <c r="AD85" s="653">
        <f>+SUM($C12:AC12)+AD12/2</f>
        <v>1491435539.0064082</v>
      </c>
      <c r="AE85" s="653">
        <f>+SUM($C12:AD12)+AE12/2</f>
        <v>1555264390.7899551</v>
      </c>
      <c r="AF85" s="653">
        <f>+SUM($C12:AE12)+AF12/2</f>
        <v>1652685813.8194857</v>
      </c>
      <c r="AG85" s="653">
        <f>+SUM($C12:AF12)+AG12/2</f>
        <v>1792039985.962708</v>
      </c>
      <c r="AH85" s="653">
        <f>+SUM($C12:AG12)+AH12/2</f>
        <v>1932990117.6918731</v>
      </c>
      <c r="AI85" s="653">
        <f>+SUM($C12:AH12)+AI12/2</f>
        <v>2056052405.8248949</v>
      </c>
      <c r="AJ85" s="653">
        <f>+SUM($C12:AI12)+AJ12/2</f>
        <v>2186272140.4804106</v>
      </c>
      <c r="AK85" s="653">
        <f>+SUM($C12:AJ12)+AK12/2</f>
        <v>2299858788.0229039</v>
      </c>
      <c r="AL85" s="653">
        <f>+SUM($C12:AK12)+AL12/2</f>
        <v>2353281414.0229039</v>
      </c>
      <c r="AM85" s="303">
        <f>+SUM($C12:AL12)+AM12/2</f>
        <v>2369697862.2729039</v>
      </c>
      <c r="AN85" s="653">
        <f>+SUM($C12:AM12)+AN12/2</f>
        <v>2385107948.3273592</v>
      </c>
      <c r="AO85" s="653">
        <f>+SUM($C12:AN12)+AO12/2</f>
        <v>2398798192.6222491</v>
      </c>
      <c r="AP85" s="653">
        <f>+SUM($C12:AO12)+AP12/2</f>
        <v>2411838985.9541345</v>
      </c>
      <c r="AQ85" s="653">
        <f>+SUM($C12:AP12)+AQ12/2</f>
        <v>2424325169.3914342</v>
      </c>
      <c r="AR85" s="653">
        <f>+SUM($C12:AQ12)+AR12/2</f>
        <v>2438364929.0471044</v>
      </c>
      <c r="AS85" s="653">
        <f>+SUM($C12:AR12)+AS12/2</f>
        <v>2450565303.749784</v>
      </c>
      <c r="AT85" s="653">
        <f t="shared" si="31"/>
        <v>46082374251.777809</v>
      </c>
    </row>
    <row r="86" spans="2:47" ht="12.75" x14ac:dyDescent="0.2">
      <c r="B86" s="307" t="s">
        <v>61</v>
      </c>
      <c r="C86" s="653">
        <f t="shared" si="32"/>
        <v>0</v>
      </c>
      <c r="D86" s="653">
        <f t="shared" si="33"/>
        <v>0</v>
      </c>
      <c r="E86" s="653">
        <f>+SUM($C13:D13)+E13/2</f>
        <v>0</v>
      </c>
      <c r="F86" s="653">
        <f>+SUM($C13:E13)+F13/2</f>
        <v>0</v>
      </c>
      <c r="G86" s="653">
        <f>+SUM($C13:F13)+G13/2</f>
        <v>0</v>
      </c>
      <c r="H86" s="653">
        <f>+SUM($C13:G13)+H13/2</f>
        <v>0</v>
      </c>
      <c r="I86" s="653">
        <f>+SUM($C13:H13)+I13/2</f>
        <v>0</v>
      </c>
      <c r="J86" s="653">
        <f>+SUM($C13:I13)+J13/2</f>
        <v>0</v>
      </c>
      <c r="K86" s="653">
        <f>+SUM($C13:J13)+K13/2</f>
        <v>0</v>
      </c>
      <c r="L86" s="653">
        <f>+SUM($C13:K13)+L13/2</f>
        <v>0</v>
      </c>
      <c r="M86" s="653">
        <f>+SUM($C13:L13)+M13/2</f>
        <v>22626656.584206548</v>
      </c>
      <c r="N86" s="653">
        <f>+SUM($C13:M13)+N13/2</f>
        <v>53278828.994274601</v>
      </c>
      <c r="O86" s="653">
        <f>+SUM($C13:N13)+O13/2</f>
        <v>69954474.451766238</v>
      </c>
      <c r="P86" s="653">
        <f>+SUM($C13:O13)+P13/2</f>
        <v>91311582.586151019</v>
      </c>
      <c r="Q86" s="653">
        <f>+SUM($C13:P13)+Q13/2</f>
        <v>116136838.08890569</v>
      </c>
      <c r="R86" s="653">
        <f>+SUM($C13:Q13)+R13/2</f>
        <v>142197027.87670952</v>
      </c>
      <c r="S86" s="653">
        <f>+SUM($C13:R13)+S13/2</f>
        <v>173005087.66451335</v>
      </c>
      <c r="T86" s="653">
        <f>+SUM($C13:S13)+T13/2</f>
        <v>198280872.16451335</v>
      </c>
      <c r="U86" s="653">
        <f>+SUM($C13:T13)+U13/2</f>
        <v>211939280.16451335</v>
      </c>
      <c r="V86" s="653">
        <f>+SUM($C13:U13)+V13/2</f>
        <v>220429481.66451335</v>
      </c>
      <c r="W86" s="653">
        <f>+SUM($C13:V13)+W13/2</f>
        <v>228390780.16451335</v>
      </c>
      <c r="X86" s="653">
        <f>+SUM($C13:W13)+X13/2</f>
        <v>239661552.66451335</v>
      </c>
      <c r="Y86" s="653">
        <f>+SUM($C13:X13)+Y13/2</f>
        <v>250225741.16451335</v>
      </c>
      <c r="Z86" s="653">
        <f>+SUM($C13:Y13)+Z13/2</f>
        <v>257382449.46364471</v>
      </c>
      <c r="AA86" s="653">
        <f>+SUM($C13:Z13)+AA13/2</f>
        <v>262999216.59830591</v>
      </c>
      <c r="AB86" s="653">
        <f>+SUM($C13:AA13)+AB13/2</f>
        <v>268497453.83427149</v>
      </c>
      <c r="AC86" s="653">
        <f>+SUM($C13:AB13)+AC13/2</f>
        <v>275714225.73932087</v>
      </c>
      <c r="AD86" s="653">
        <f>+SUM($C13:AC13)+AD13/2</f>
        <v>283618290.77614558</v>
      </c>
      <c r="AE86" s="653">
        <f>+SUM($C13:AD13)+AE13/2</f>
        <v>289103862.53053701</v>
      </c>
      <c r="AF86" s="653">
        <f>+SUM($C13:AE13)+AF13/2</f>
        <v>293072182.35959244</v>
      </c>
      <c r="AG86" s="653">
        <f>+SUM($C13:AF13)+AG13/2</f>
        <v>295804827.96367419</v>
      </c>
      <c r="AH86" s="653">
        <f>+SUM($C13:AG13)+AH13/2</f>
        <v>296657068.65998095</v>
      </c>
      <c r="AI86" s="653">
        <f>+SUM($C13:AH13)+AI13/2</f>
        <v>297249215.26382893</v>
      </c>
      <c r="AJ86" s="653">
        <f>+SUM($C13:AI13)+AJ13/2</f>
        <v>297916807.09437758</v>
      </c>
      <c r="AK86" s="653">
        <f>+SUM($C13:AJ13)+AK13/2</f>
        <v>298601783.52017832</v>
      </c>
      <c r="AL86" s="653">
        <f>+SUM($C13:AK13)+AL13/2</f>
        <v>298896783.52017832</v>
      </c>
      <c r="AM86" s="303">
        <f>+SUM($C13:AL13)+AM13/2</f>
        <v>298896783.52017832</v>
      </c>
      <c r="AN86" s="653">
        <f>+SUM($C13:AM13)+AN13/2</f>
        <v>298896783.52017832</v>
      </c>
      <c r="AO86" s="653">
        <f>+SUM($C13:AN13)+AO13/2</f>
        <v>298896783.52017832</v>
      </c>
      <c r="AP86" s="653">
        <f>+SUM($C13:AO13)+AP13/2</f>
        <v>298896783.52017832</v>
      </c>
      <c r="AQ86" s="653">
        <f>+SUM($C13:AP13)+AQ13/2</f>
        <v>298896783.52017832</v>
      </c>
      <c r="AR86" s="653">
        <f>+SUM($C13:AQ13)+AR13/2</f>
        <v>298896783.52017832</v>
      </c>
      <c r="AS86" s="653">
        <f>+SUM($C13:AR13)+AS13/2</f>
        <v>298896783.52017832</v>
      </c>
      <c r="AT86" s="653">
        <f t="shared" si="31"/>
        <v>7825229856.1988869</v>
      </c>
    </row>
    <row r="87" spans="2:47" ht="12.75" x14ac:dyDescent="0.2">
      <c r="B87" s="307" t="s">
        <v>17</v>
      </c>
      <c r="C87" s="653">
        <f t="shared" ref="C87:C95" si="34">+C16/2</f>
        <v>0</v>
      </c>
      <c r="D87" s="653">
        <f t="shared" ref="D87:D95" si="35">+C87*2+D16/2</f>
        <v>0</v>
      </c>
      <c r="E87" s="653">
        <f>+SUM($C16:D16)+E16/2</f>
        <v>0</v>
      </c>
      <c r="F87" s="653">
        <f>+SUM($C16:E16)+F16/2</f>
        <v>0</v>
      </c>
      <c r="G87" s="653">
        <f>+SUM($C16:F16)+G16/2</f>
        <v>0</v>
      </c>
      <c r="H87" s="653">
        <f>+SUM($C16:G16)+H16/2</f>
        <v>0</v>
      </c>
      <c r="I87" s="653">
        <f>+SUM($C16:H16)+I16/2</f>
        <v>0</v>
      </c>
      <c r="J87" s="653">
        <f>+SUM($C16:I16)+J16/2</f>
        <v>0</v>
      </c>
      <c r="K87" s="653">
        <f>+SUM($C16:J16)+K16/2</f>
        <v>0</v>
      </c>
      <c r="L87" s="653">
        <f>+SUM($C16:K16)+L16/2</f>
        <v>0</v>
      </c>
      <c r="M87" s="653">
        <f>+SUM($C16:L16)+M16/2</f>
        <v>0</v>
      </c>
      <c r="N87" s="653">
        <f>+SUM($C16:M16)+N16/2</f>
        <v>0</v>
      </c>
      <c r="O87" s="653">
        <f>+SUM($C16:N16)+O16/2</f>
        <v>0</v>
      </c>
      <c r="P87" s="653">
        <f>+SUM($C16:O16)+P16/2</f>
        <v>0</v>
      </c>
      <c r="Q87" s="653">
        <f>+SUM($C16:P16)+Q16/2</f>
        <v>0</v>
      </c>
      <c r="R87" s="653">
        <f>+SUM($C16:Q16)+R16/2</f>
        <v>0</v>
      </c>
      <c r="S87" s="653">
        <f>+SUM($C16:R16)+S16/2</f>
        <v>0</v>
      </c>
      <c r="T87" s="653">
        <f>+SUM($C16:S16)+T16/2</f>
        <v>0</v>
      </c>
      <c r="U87" s="653">
        <f>+SUM($C16:T16)+U16/2</f>
        <v>0</v>
      </c>
      <c r="V87" s="653">
        <f>+SUM($C16:U16)+V16/2</f>
        <v>0</v>
      </c>
      <c r="W87" s="653">
        <f>+SUM($C16:V16)+W16/2</f>
        <v>0</v>
      </c>
      <c r="X87" s="653">
        <f>+SUM($C16:W16)+X16/2</f>
        <v>0</v>
      </c>
      <c r="Y87" s="653">
        <f>+SUM($C16:X16)+Y16/2</f>
        <v>0</v>
      </c>
      <c r="Z87" s="653">
        <f>+SUM($C16:Y16)+Z16/2</f>
        <v>0</v>
      </c>
      <c r="AA87" s="653">
        <f>+SUM($C16:Z16)+AA16/2</f>
        <v>40854.685524400033</v>
      </c>
      <c r="AB87" s="653">
        <f>+SUM($C16:AA16)+AB16/2</f>
        <v>168733.26525634518</v>
      </c>
      <c r="AC87" s="653">
        <f>+SUM($C16:AB16)+AC16/2</f>
        <v>373628.46004257223</v>
      </c>
      <c r="AD87" s="653">
        <f>+SUM($C16:AC16)+AD16/2</f>
        <v>701396.78013918258</v>
      </c>
      <c r="AE87" s="653">
        <f>+SUM($C16:AD16)+AE16/2</f>
        <v>1047741.648856338</v>
      </c>
      <c r="AF87" s="653">
        <f>+SUM($C16:AE16)+AF16/2</f>
        <v>1434643.1159936204</v>
      </c>
      <c r="AG87" s="653">
        <f>+SUM($C16:AF16)+AG16/2</f>
        <v>2184467.1679669139</v>
      </c>
      <c r="AH87" s="653">
        <f>+SUM($C16:AG16)+AH16/2</f>
        <v>3397341.0220021526</v>
      </c>
      <c r="AI87" s="653">
        <f>+SUM($C16:AH16)+AI16/2</f>
        <v>4356490.0703621535</v>
      </c>
      <c r="AJ87" s="653">
        <f>+SUM($C16:AI16)+AJ16/2</f>
        <v>4842053.2882665265</v>
      </c>
      <c r="AK87" s="653">
        <f>+SUM($C16:AJ16)+AK16/2</f>
        <v>5143970.877810901</v>
      </c>
      <c r="AL87" s="653">
        <f>+SUM($C16:AK16)+AL16/2</f>
        <v>5555492.377810901</v>
      </c>
      <c r="AM87" s="303">
        <f>+SUM($C16:AL16)+AM16/2</f>
        <v>6708502.340835901</v>
      </c>
      <c r="AN87" s="653">
        <f>+SUM($C16:AM16)+AN16/2</f>
        <v>8295779.0305109005</v>
      </c>
      <c r="AO87" s="653">
        <f>+SUM($C16:AN16)+AO16/2</f>
        <v>10026486.4295609</v>
      </c>
      <c r="AP87" s="653">
        <f>+SUM($C16:AO16)+AP16/2</f>
        <v>12226123.302960902</v>
      </c>
      <c r="AQ87" s="653">
        <f>+SUM($C16:AP16)+AQ16/2</f>
        <v>15820324.30571091</v>
      </c>
      <c r="AR87" s="653">
        <f>+SUM($C16:AQ16)+AR16/2</f>
        <v>23800797.21319598</v>
      </c>
      <c r="AS87" s="653">
        <f>+SUM($C16:AR16)+AS16/2</f>
        <v>37369846.191043064</v>
      </c>
      <c r="AT87" s="653">
        <f t="shared" si="31"/>
        <v>143494671.57385057</v>
      </c>
    </row>
    <row r="88" spans="2:47" ht="12.75" x14ac:dyDescent="0.2">
      <c r="B88" s="307" t="s">
        <v>91</v>
      </c>
      <c r="C88" s="653">
        <f t="shared" si="34"/>
        <v>0</v>
      </c>
      <c r="D88" s="653">
        <f t="shared" si="35"/>
        <v>0</v>
      </c>
      <c r="E88" s="653">
        <f>+SUM($C17:D17)+E17/2</f>
        <v>0</v>
      </c>
      <c r="F88" s="653">
        <f>+SUM($C17:E17)+F17/2</f>
        <v>0</v>
      </c>
      <c r="G88" s="653">
        <f>+SUM($C17:F17)+G17/2</f>
        <v>0</v>
      </c>
      <c r="H88" s="653">
        <f>+SUM($C17:G17)+H17/2</f>
        <v>0</v>
      </c>
      <c r="I88" s="653">
        <f>+SUM($C17:H17)+I17/2</f>
        <v>0</v>
      </c>
      <c r="J88" s="653">
        <f>+SUM($C17:I17)+J17/2</f>
        <v>0</v>
      </c>
      <c r="K88" s="653">
        <f>+SUM($C17:J17)+K17/2</f>
        <v>0</v>
      </c>
      <c r="L88" s="653">
        <f>+SUM($C17:K17)+L17/2</f>
        <v>0</v>
      </c>
      <c r="M88" s="653">
        <f>+SUM($C17:L17)+M17/2</f>
        <v>599035.86475099926</v>
      </c>
      <c r="N88" s="653">
        <f>+SUM($C17:M17)+N17/2</f>
        <v>2096842.9296748408</v>
      </c>
      <c r="O88" s="653">
        <f>+SUM($C17:N17)+O17/2</f>
        <v>5832962.0827481914</v>
      </c>
      <c r="P88" s="653">
        <f>+SUM($C17:O17)+P17/2</f>
        <v>10613426.596089447</v>
      </c>
      <c r="Q88" s="653">
        <f>+SUM($C17:P17)+Q17/2</f>
        <v>13812651.656530194</v>
      </c>
      <c r="R88" s="653">
        <f>+SUM($C17:Q17)+R17/2</f>
        <v>15651816.156530194</v>
      </c>
      <c r="S88" s="653">
        <f>+SUM($C17:R17)+S17/2</f>
        <v>16593011.156530194</v>
      </c>
      <c r="T88" s="653">
        <f>+SUM($C17:S17)+T17/2</f>
        <v>16951150.156530194</v>
      </c>
      <c r="U88" s="653">
        <f>+SUM($C17:T17)+U17/2</f>
        <v>16951150.156530194</v>
      </c>
      <c r="V88" s="653">
        <f>+SUM($C17:U17)+V17/2</f>
        <v>16951150.156530194</v>
      </c>
      <c r="W88" s="653">
        <f>+SUM($C17:V17)+W17/2</f>
        <v>16951150.156530194</v>
      </c>
      <c r="X88" s="653">
        <f>+SUM($C17:W17)+X17/2</f>
        <v>16951150.156530194</v>
      </c>
      <c r="Y88" s="653">
        <f>+SUM($C17:X17)+Y17/2</f>
        <v>16951150.156530194</v>
      </c>
      <c r="Z88" s="653">
        <f>+SUM($C17:Y17)+Z17/2</f>
        <v>16951150.156530194</v>
      </c>
      <c r="AA88" s="653">
        <f>+SUM($C17:Z17)+AA17/2</f>
        <v>16951150.156530194</v>
      </c>
      <c r="AB88" s="653">
        <f>+SUM($C17:AA17)+AB17/2</f>
        <v>16951150.156530194</v>
      </c>
      <c r="AC88" s="653">
        <f>+SUM($C17:AB17)+AC17/2</f>
        <v>16951150.156530194</v>
      </c>
      <c r="AD88" s="653">
        <f>+SUM($C17:AC17)+AD17/2</f>
        <v>16951150.156530194</v>
      </c>
      <c r="AE88" s="653">
        <f>+SUM($C17:AD17)+AE17/2</f>
        <v>16951150.156530194</v>
      </c>
      <c r="AF88" s="653">
        <f>+SUM($C17:AE17)+AF17/2</f>
        <v>16951150.156530194</v>
      </c>
      <c r="AG88" s="653">
        <f>+SUM($C17:AF17)+AG17/2</f>
        <v>16951150.156530194</v>
      </c>
      <c r="AH88" s="653">
        <f>+SUM($C17:AG17)+AH17/2</f>
        <v>16951150.156530194</v>
      </c>
      <c r="AI88" s="653">
        <f>+SUM($C17:AH17)+AI17/2</f>
        <v>16951150.156530194</v>
      </c>
      <c r="AJ88" s="653">
        <f>+SUM($C17:AI17)+AJ17/2</f>
        <v>16951150.156530194</v>
      </c>
      <c r="AK88" s="653">
        <f>+SUM($C17:AJ17)+AK17/2</f>
        <v>16951150.156530194</v>
      </c>
      <c r="AL88" s="653">
        <f>+SUM($C17:AK17)+AL17/2</f>
        <v>16951150.156530194</v>
      </c>
      <c r="AM88" s="303">
        <f>+SUM($C17:AL17)+AM17/2</f>
        <v>16951150.156530194</v>
      </c>
      <c r="AN88" s="653">
        <f>+SUM($C17:AM17)+AN17/2</f>
        <v>16951150.156530194</v>
      </c>
      <c r="AO88" s="653">
        <f>+SUM($C17:AN17)+AO17/2</f>
        <v>16951150.156530194</v>
      </c>
      <c r="AP88" s="653">
        <f>+SUM($C17:AO17)+AP17/2</f>
        <v>16951150.156530194</v>
      </c>
      <c r="AQ88" s="653">
        <f>+SUM($C17:AP17)+AQ17/2</f>
        <v>16951150.156530194</v>
      </c>
      <c r="AR88" s="653">
        <f>+SUM($C17:AQ17)+AR17/2</f>
        <v>16951150.156530194</v>
      </c>
      <c r="AS88" s="653">
        <f>+SUM($C17:AR17)+AS17/2</f>
        <v>16951150.156530194</v>
      </c>
      <c r="AT88" s="653">
        <f t="shared" si="31"/>
        <v>505929650.51263928</v>
      </c>
    </row>
    <row r="89" spans="2:47" ht="12.75" x14ac:dyDescent="0.2">
      <c r="B89" s="307" t="s">
        <v>64</v>
      </c>
      <c r="C89" s="653">
        <f t="shared" si="34"/>
        <v>0</v>
      </c>
      <c r="D89" s="653">
        <f t="shared" si="35"/>
        <v>0</v>
      </c>
      <c r="E89" s="653">
        <f>+SUM($C18:D18)+E18/2</f>
        <v>0</v>
      </c>
      <c r="F89" s="653">
        <f>+SUM($C18:E18)+F18/2</f>
        <v>0</v>
      </c>
      <c r="G89" s="653">
        <f>+SUM($C18:F18)+G18/2</f>
        <v>0</v>
      </c>
      <c r="H89" s="653">
        <f>+SUM($C18:G18)+H18/2</f>
        <v>0</v>
      </c>
      <c r="I89" s="653">
        <f>+SUM($C18:H18)+I18/2</f>
        <v>0</v>
      </c>
      <c r="J89" s="653">
        <f>+SUM($C18:I18)+J18/2</f>
        <v>0</v>
      </c>
      <c r="K89" s="653">
        <f>+SUM($C18:J18)+K18/2</f>
        <v>0</v>
      </c>
      <c r="L89" s="653">
        <f>+SUM($C18:K18)+L18/2</f>
        <v>0</v>
      </c>
      <c r="M89" s="653">
        <f>+SUM($C18:L18)+M18/2</f>
        <v>0</v>
      </c>
      <c r="N89" s="653">
        <f>+SUM($C18:M18)+N18/2</f>
        <v>0</v>
      </c>
      <c r="O89" s="653">
        <f>+SUM($C18:N18)+O18/2</f>
        <v>0</v>
      </c>
      <c r="P89" s="653">
        <f>+SUM($C18:O18)+P18/2</f>
        <v>0</v>
      </c>
      <c r="Q89" s="653">
        <f>+SUM($C18:P18)+Q18/2</f>
        <v>0</v>
      </c>
      <c r="R89" s="653">
        <f>+SUM($C18:Q18)+R18/2</f>
        <v>0</v>
      </c>
      <c r="S89" s="653">
        <f>+SUM($C18:R18)+S18/2</f>
        <v>0</v>
      </c>
      <c r="T89" s="653">
        <f>+SUM($C18:S18)+T18/2</f>
        <v>0</v>
      </c>
      <c r="U89" s="653">
        <f>+SUM($C18:T18)+U18/2</f>
        <v>0</v>
      </c>
      <c r="V89" s="653">
        <f>+SUM($C18:U18)+V18/2</f>
        <v>0</v>
      </c>
      <c r="W89" s="653">
        <f>+SUM($C18:V18)+W18/2</f>
        <v>0</v>
      </c>
      <c r="X89" s="653">
        <f>+SUM($C18:W18)+X18/2</f>
        <v>0</v>
      </c>
      <c r="Y89" s="653">
        <f>+SUM($C18:X18)+Y18/2</f>
        <v>0</v>
      </c>
      <c r="Z89" s="653">
        <f>+SUM($C18:Y18)+Z18/2</f>
        <v>0</v>
      </c>
      <c r="AA89" s="653">
        <f>+SUM($C18:Z18)+AA18/2</f>
        <v>0</v>
      </c>
      <c r="AB89" s="653">
        <f>+SUM($C18:AA18)+AB18/2</f>
        <v>0</v>
      </c>
      <c r="AC89" s="653">
        <f>+SUM($C18:AB18)+AC18/2</f>
        <v>0</v>
      </c>
      <c r="AD89" s="653">
        <f>+SUM($C18:AC18)+AD18/2</f>
        <v>0</v>
      </c>
      <c r="AE89" s="653">
        <f>+SUM($C18:AD18)+AE18/2</f>
        <v>0</v>
      </c>
      <c r="AF89" s="653">
        <f>+SUM($C18:AE18)+AF18/2</f>
        <v>0</v>
      </c>
      <c r="AG89" s="653">
        <f>+SUM($C18:AF18)+AG18/2</f>
        <v>0</v>
      </c>
      <c r="AH89" s="653">
        <f>+SUM($C18:AG18)+AH18/2</f>
        <v>0</v>
      </c>
      <c r="AI89" s="653">
        <f>+SUM($C18:AH18)+AI18/2</f>
        <v>0</v>
      </c>
      <c r="AJ89" s="653">
        <f>+SUM($C18:AI18)+AJ18/2</f>
        <v>0</v>
      </c>
      <c r="AK89" s="653">
        <f>+SUM($C18:AJ18)+AK18/2</f>
        <v>0</v>
      </c>
      <c r="AL89" s="653">
        <f>+SUM($C18:AK18)+AL18/2</f>
        <v>0</v>
      </c>
      <c r="AM89" s="303">
        <f>+SUM($C18:AL18)+AM18/2</f>
        <v>0</v>
      </c>
      <c r="AN89" s="653">
        <f>+SUM($C18:AM18)+AN18/2</f>
        <v>0</v>
      </c>
      <c r="AO89" s="653">
        <f>+SUM($C18:AN18)+AO18/2</f>
        <v>0</v>
      </c>
      <c r="AP89" s="653">
        <f>+SUM($C18:AO18)+AP18/2</f>
        <v>0</v>
      </c>
      <c r="AQ89" s="653">
        <f>+SUM($C18:AP18)+AQ18/2</f>
        <v>0</v>
      </c>
      <c r="AR89" s="653">
        <f>+SUM($C18:AQ18)+AR18/2</f>
        <v>0</v>
      </c>
      <c r="AS89" s="653">
        <f>+SUM($C18:AR18)+AS18/2</f>
        <v>0</v>
      </c>
      <c r="AT89" s="653">
        <f t="shared" si="31"/>
        <v>0</v>
      </c>
    </row>
    <row r="90" spans="2:47" ht="12.75" x14ac:dyDescent="0.2">
      <c r="B90" s="307" t="s">
        <v>112</v>
      </c>
      <c r="C90" s="653">
        <f t="shared" si="34"/>
        <v>0</v>
      </c>
      <c r="D90" s="653">
        <f t="shared" si="35"/>
        <v>0</v>
      </c>
      <c r="E90" s="653">
        <f>+SUM($C19:D19)+E19/2</f>
        <v>0</v>
      </c>
      <c r="F90" s="653">
        <f>+SUM($C19:E19)+F19/2</f>
        <v>0</v>
      </c>
      <c r="G90" s="653">
        <f>+SUM($C19:F19)+G19/2</f>
        <v>0</v>
      </c>
      <c r="H90" s="653">
        <f>+SUM($C19:G19)+H19/2</f>
        <v>0</v>
      </c>
      <c r="I90" s="653">
        <f>+SUM($C19:H19)+I19/2</f>
        <v>0</v>
      </c>
      <c r="J90" s="653">
        <f>+SUM($C19:I19)+J19/2</f>
        <v>0</v>
      </c>
      <c r="K90" s="653">
        <f>+SUM($C19:J19)+K19/2</f>
        <v>0</v>
      </c>
      <c r="L90" s="653">
        <f>+SUM($C19:K19)+L19/2</f>
        <v>0</v>
      </c>
      <c r="M90" s="653">
        <f>+SUM($C19:L19)+M19/2</f>
        <v>0</v>
      </c>
      <c r="N90" s="653">
        <f>+SUM($C19:M19)+N19/2</f>
        <v>0</v>
      </c>
      <c r="O90" s="653">
        <f>+SUM($C19:N19)+O19/2</f>
        <v>0</v>
      </c>
      <c r="P90" s="653">
        <f>+SUM($C19:O19)+P19/2</f>
        <v>0</v>
      </c>
      <c r="Q90" s="653">
        <f>+SUM($C19:P19)+Q19/2</f>
        <v>0</v>
      </c>
      <c r="R90" s="653">
        <f>+SUM($C19:Q19)+R19/2</f>
        <v>0</v>
      </c>
      <c r="S90" s="653">
        <f>+SUM($C19:R19)+S19/2</f>
        <v>0</v>
      </c>
      <c r="T90" s="653">
        <f>+SUM($C19:S19)+T19/2</f>
        <v>0</v>
      </c>
      <c r="U90" s="653">
        <f>+SUM($C19:T19)+U19/2</f>
        <v>0</v>
      </c>
      <c r="V90" s="653">
        <f>+SUM($C19:U19)+V19/2</f>
        <v>0</v>
      </c>
      <c r="W90" s="653">
        <f>+SUM($C19:V19)+W19/2</f>
        <v>0</v>
      </c>
      <c r="X90" s="653">
        <f>+SUM($C19:W19)+X19/2</f>
        <v>0</v>
      </c>
      <c r="Y90" s="653">
        <f>+SUM($C19:X19)+Y19/2</f>
        <v>0</v>
      </c>
      <c r="Z90" s="653">
        <f>+SUM($C19:Y19)+Z19/2</f>
        <v>0</v>
      </c>
      <c r="AA90" s="653">
        <f>+SUM($C19:Z19)+AA19/2</f>
        <v>0</v>
      </c>
      <c r="AB90" s="653">
        <f>+SUM($C19:AA19)+AB19/2</f>
        <v>0</v>
      </c>
      <c r="AC90" s="653">
        <f>+SUM($C19:AB19)+AC19/2</f>
        <v>0</v>
      </c>
      <c r="AD90" s="653">
        <f>+SUM($C19:AC19)+AD19/2</f>
        <v>0</v>
      </c>
      <c r="AE90" s="653">
        <f>+SUM($C19:AD19)+AE19/2</f>
        <v>0</v>
      </c>
      <c r="AF90" s="653">
        <f>+SUM($C19:AE19)+AF19/2</f>
        <v>0</v>
      </c>
      <c r="AG90" s="653">
        <f>+SUM($C19:AF19)+AG19/2</f>
        <v>0</v>
      </c>
      <c r="AH90" s="653">
        <f>+SUM($C19:AG19)+AH19/2</f>
        <v>0</v>
      </c>
      <c r="AI90" s="653">
        <f>+SUM($C19:AH19)+AI19/2</f>
        <v>0</v>
      </c>
      <c r="AJ90" s="653">
        <f>+SUM($C19:AI19)+AJ19/2</f>
        <v>0</v>
      </c>
      <c r="AK90" s="653">
        <f>+SUM($C19:AJ19)+AK19/2</f>
        <v>0</v>
      </c>
      <c r="AL90" s="653">
        <f>+SUM($C19:AK19)+AL19/2</f>
        <v>0</v>
      </c>
      <c r="AM90" s="303">
        <f>+SUM($C19:AL19)+AM19/2</f>
        <v>0</v>
      </c>
      <c r="AN90" s="653">
        <f>+SUM($C19:AM19)+AN19/2</f>
        <v>0</v>
      </c>
      <c r="AO90" s="653">
        <f>+SUM($C19:AN19)+AO19/2</f>
        <v>0</v>
      </c>
      <c r="AP90" s="653">
        <f>+SUM($C19:AO19)+AP19/2</f>
        <v>0</v>
      </c>
      <c r="AQ90" s="653">
        <f>+SUM($C19:AP19)+AQ19/2</f>
        <v>0</v>
      </c>
      <c r="AR90" s="653">
        <f>+SUM($C19:AQ19)+AR19/2</f>
        <v>0</v>
      </c>
      <c r="AS90" s="653">
        <f>+SUM($C19:AR19)+AS19/2</f>
        <v>0</v>
      </c>
      <c r="AT90" s="653">
        <f t="shared" si="31"/>
        <v>0</v>
      </c>
    </row>
    <row r="91" spans="2:47" ht="12.75" x14ac:dyDescent="0.2">
      <c r="B91" s="307" t="s">
        <v>66</v>
      </c>
      <c r="C91" s="653">
        <f t="shared" si="34"/>
        <v>0</v>
      </c>
      <c r="D91" s="653">
        <f t="shared" si="35"/>
        <v>0</v>
      </c>
      <c r="E91" s="653">
        <f>+SUM($C20:D20)+E20/2</f>
        <v>0</v>
      </c>
      <c r="F91" s="653">
        <f>+SUM($C20:E20)+F20/2</f>
        <v>0</v>
      </c>
      <c r="G91" s="653">
        <f>+SUM($C20:F20)+G20/2</f>
        <v>0</v>
      </c>
      <c r="H91" s="653">
        <f>+SUM($C20:G20)+H20/2</f>
        <v>0</v>
      </c>
      <c r="I91" s="653">
        <f>+SUM($C20:H20)+I20/2</f>
        <v>0</v>
      </c>
      <c r="J91" s="653">
        <f>+SUM($C20:I20)+J20/2</f>
        <v>0</v>
      </c>
      <c r="K91" s="653">
        <f>+SUM($C20:J20)+K20/2</f>
        <v>0</v>
      </c>
      <c r="L91" s="653">
        <f>+SUM($C20:K20)+L20/2</f>
        <v>0</v>
      </c>
      <c r="M91" s="653">
        <f>+SUM($C20:L20)+M20/2</f>
        <v>0</v>
      </c>
      <c r="N91" s="653">
        <f>+SUM($C20:M20)+N20/2</f>
        <v>0</v>
      </c>
      <c r="O91" s="653">
        <f>+SUM($C20:N20)+O20/2</f>
        <v>0</v>
      </c>
      <c r="P91" s="653">
        <f>+SUM($C20:O20)+P20/2</f>
        <v>0</v>
      </c>
      <c r="Q91" s="653">
        <f>+SUM($C20:P20)+Q20/2</f>
        <v>0</v>
      </c>
      <c r="R91" s="653">
        <f>+SUM($C20:Q20)+R20/2</f>
        <v>0</v>
      </c>
      <c r="S91" s="653">
        <f>+SUM($C20:R20)+S20/2</f>
        <v>0</v>
      </c>
      <c r="T91" s="653">
        <f>+SUM($C20:S20)+T20/2</f>
        <v>0</v>
      </c>
      <c r="U91" s="653">
        <f>+SUM($C20:T20)+U20/2</f>
        <v>0</v>
      </c>
      <c r="V91" s="653">
        <f>+SUM($C20:U20)+V20/2</f>
        <v>0</v>
      </c>
      <c r="W91" s="653">
        <f>+SUM($C20:V20)+W20/2</f>
        <v>0</v>
      </c>
      <c r="X91" s="653">
        <f>+SUM($C20:W20)+X20/2</f>
        <v>0</v>
      </c>
      <c r="Y91" s="653">
        <f>+SUM($C20:X20)+Y20/2</f>
        <v>0</v>
      </c>
      <c r="Z91" s="653">
        <f>+SUM($C20:Y20)+Z20/2</f>
        <v>0</v>
      </c>
      <c r="AA91" s="653">
        <f>+SUM($C20:Z20)+AA20/2</f>
        <v>0</v>
      </c>
      <c r="AB91" s="653">
        <f>+SUM($C20:AA20)+AB20/2</f>
        <v>0</v>
      </c>
      <c r="AC91" s="653">
        <f>+SUM($C20:AB20)+AC20/2</f>
        <v>0</v>
      </c>
      <c r="AD91" s="653">
        <f>+SUM($C20:AC20)+AD20/2</f>
        <v>0</v>
      </c>
      <c r="AE91" s="653">
        <f>+SUM($C20:AD20)+AE20/2</f>
        <v>0</v>
      </c>
      <c r="AF91" s="653">
        <f>+SUM($C20:AE20)+AF20/2</f>
        <v>0</v>
      </c>
      <c r="AG91" s="653">
        <f>+SUM($C20:AF20)+AG20/2</f>
        <v>0</v>
      </c>
      <c r="AH91" s="653">
        <f>+SUM($C20:AG20)+AH20/2</f>
        <v>0</v>
      </c>
      <c r="AI91" s="653">
        <f>+SUM($C20:AH20)+AI20/2</f>
        <v>0</v>
      </c>
      <c r="AJ91" s="653">
        <f>+SUM($C20:AI20)+AJ20/2</f>
        <v>0</v>
      </c>
      <c r="AK91" s="653">
        <f>+SUM($C20:AJ20)+AK20/2</f>
        <v>0</v>
      </c>
      <c r="AL91" s="653">
        <f>+SUM($C20:AK20)+AL20/2</f>
        <v>0</v>
      </c>
      <c r="AM91" s="303">
        <f>+SUM($C20:AL20)+AM20/2</f>
        <v>0</v>
      </c>
      <c r="AN91" s="653">
        <f>+SUM($C20:AM20)+AN20/2</f>
        <v>0</v>
      </c>
      <c r="AO91" s="653">
        <f>+SUM($C20:AN20)+AO20/2</f>
        <v>0</v>
      </c>
      <c r="AP91" s="653">
        <f>+SUM($C20:AO20)+AP20/2</f>
        <v>0</v>
      </c>
      <c r="AQ91" s="653">
        <f>+SUM($C20:AP20)+AQ20/2</f>
        <v>0</v>
      </c>
      <c r="AR91" s="653">
        <f>+SUM($C20:AQ20)+AR20/2</f>
        <v>0</v>
      </c>
      <c r="AS91" s="653">
        <f>+SUM($C20:AR20)+AS20/2</f>
        <v>0</v>
      </c>
      <c r="AT91" s="653">
        <f t="shared" si="31"/>
        <v>0</v>
      </c>
      <c r="AU91" s="346"/>
    </row>
    <row r="92" spans="2:47" ht="12.75" x14ac:dyDescent="0.2">
      <c r="B92" s="307" t="s">
        <v>67</v>
      </c>
      <c r="C92" s="653">
        <f t="shared" si="34"/>
        <v>0</v>
      </c>
      <c r="D92" s="653">
        <f t="shared" si="35"/>
        <v>0</v>
      </c>
      <c r="E92" s="653">
        <f>+SUM($C21:D21)+E21/2</f>
        <v>0</v>
      </c>
      <c r="F92" s="653">
        <f>+SUM($C21:E21)+F21/2</f>
        <v>0</v>
      </c>
      <c r="G92" s="653">
        <f>+SUM($C21:F21)+G21/2</f>
        <v>0</v>
      </c>
      <c r="H92" s="653">
        <f>+SUM($C21:G21)+H21/2</f>
        <v>0</v>
      </c>
      <c r="I92" s="653">
        <f>+SUM($C21:H21)+I21/2</f>
        <v>0</v>
      </c>
      <c r="J92" s="653">
        <f>+SUM($C21:I21)+J21/2</f>
        <v>0</v>
      </c>
      <c r="K92" s="653">
        <f>+SUM($C21:J21)+K21/2</f>
        <v>0</v>
      </c>
      <c r="L92" s="653">
        <f>+SUM($C21:K21)+L21/2</f>
        <v>0</v>
      </c>
      <c r="M92" s="653">
        <f>+SUM($C21:L21)+M21/2</f>
        <v>0</v>
      </c>
      <c r="N92" s="653">
        <f>+SUM($C21:M21)+N21/2</f>
        <v>0</v>
      </c>
      <c r="O92" s="653">
        <f>+SUM($C21:N21)+O21/2</f>
        <v>0</v>
      </c>
      <c r="P92" s="653">
        <f>+SUM($C21:O21)+P21/2</f>
        <v>0</v>
      </c>
      <c r="Q92" s="653">
        <f>+SUM($C21:P21)+Q21/2</f>
        <v>0</v>
      </c>
      <c r="R92" s="653">
        <f>+SUM($C21:Q21)+R21/2</f>
        <v>0</v>
      </c>
      <c r="S92" s="653">
        <f>+SUM($C21:R21)+S21/2</f>
        <v>0</v>
      </c>
      <c r="T92" s="653">
        <f>+SUM($C21:S21)+T21/2</f>
        <v>0</v>
      </c>
      <c r="U92" s="653">
        <f>+SUM($C21:T21)+U21/2</f>
        <v>0</v>
      </c>
      <c r="V92" s="653">
        <f>+SUM($C21:U21)+V21/2</f>
        <v>0</v>
      </c>
      <c r="W92" s="653">
        <f>+SUM($C21:V21)+W21/2</f>
        <v>0</v>
      </c>
      <c r="X92" s="653">
        <f>+SUM($C21:W21)+X21/2</f>
        <v>0</v>
      </c>
      <c r="Y92" s="653">
        <f>+SUM($C21:X21)+Y21/2</f>
        <v>0</v>
      </c>
      <c r="Z92" s="653">
        <f>+SUM($C21:Y21)+Z21/2</f>
        <v>0</v>
      </c>
      <c r="AA92" s="653">
        <f>+SUM($C21:Z21)+AA21/2</f>
        <v>0</v>
      </c>
      <c r="AB92" s="653">
        <f>+SUM($C21:AA21)+AB21/2</f>
        <v>0</v>
      </c>
      <c r="AC92" s="653">
        <f>+SUM($C21:AB21)+AC21/2</f>
        <v>0</v>
      </c>
      <c r="AD92" s="653">
        <f>+SUM($C21:AC21)+AD21/2</f>
        <v>0</v>
      </c>
      <c r="AE92" s="653">
        <f>+SUM($C21:AD21)+AE21/2</f>
        <v>0</v>
      </c>
      <c r="AF92" s="653">
        <f>+SUM($C21:AE21)+AF21/2</f>
        <v>0</v>
      </c>
      <c r="AG92" s="653">
        <f>+SUM($C21:AF21)+AG21/2</f>
        <v>0</v>
      </c>
      <c r="AH92" s="653">
        <f>+SUM($C21:AG21)+AH21/2</f>
        <v>0</v>
      </c>
      <c r="AI92" s="653">
        <f>+SUM($C21:AH21)+AI21/2</f>
        <v>0</v>
      </c>
      <c r="AJ92" s="653">
        <f>+SUM($C21:AI21)+AJ21/2</f>
        <v>0</v>
      </c>
      <c r="AK92" s="653">
        <f>+SUM($C21:AJ21)+AK21/2</f>
        <v>0</v>
      </c>
      <c r="AL92" s="653">
        <f>+SUM($C21:AK21)+AL21/2</f>
        <v>0</v>
      </c>
      <c r="AM92" s="303">
        <f>+SUM($C21:AL21)+AM21/2</f>
        <v>0</v>
      </c>
      <c r="AN92" s="653">
        <f>+SUM($C21:AM21)+AN21/2</f>
        <v>0</v>
      </c>
      <c r="AO92" s="653">
        <f>+SUM($C21:AN21)+AO21/2</f>
        <v>0</v>
      </c>
      <c r="AP92" s="653">
        <f>+SUM($C21:AO21)+AP21/2</f>
        <v>0</v>
      </c>
      <c r="AQ92" s="653">
        <f>+SUM($C21:AP21)+AQ21/2</f>
        <v>0</v>
      </c>
      <c r="AR92" s="653">
        <f>+SUM($C21:AQ21)+AR21/2</f>
        <v>0</v>
      </c>
      <c r="AS92" s="653">
        <f>+SUM($C21:AR21)+AS21/2</f>
        <v>0</v>
      </c>
      <c r="AT92" s="653">
        <f t="shared" si="31"/>
        <v>0</v>
      </c>
    </row>
    <row r="93" spans="2:47" ht="12.75" x14ac:dyDescent="0.2">
      <c r="B93" s="307" t="s">
        <v>68</v>
      </c>
      <c r="C93" s="653">
        <f t="shared" si="34"/>
        <v>0</v>
      </c>
      <c r="D93" s="653">
        <f t="shared" si="35"/>
        <v>0</v>
      </c>
      <c r="E93" s="653">
        <f>+SUM($C22:D22)+E22/2</f>
        <v>0</v>
      </c>
      <c r="F93" s="653">
        <f>+SUM($C22:E22)+F22/2</f>
        <v>0</v>
      </c>
      <c r="G93" s="653">
        <f>+SUM($C22:F22)+G22/2</f>
        <v>0</v>
      </c>
      <c r="H93" s="653">
        <f>+SUM($C22:G22)+H22/2</f>
        <v>0</v>
      </c>
      <c r="I93" s="653">
        <f>+SUM($C22:H22)+I22/2</f>
        <v>0</v>
      </c>
      <c r="J93" s="653">
        <f>+SUM($C22:I22)+J22/2</f>
        <v>0</v>
      </c>
      <c r="K93" s="653">
        <f>+SUM($C22:J22)+K22/2</f>
        <v>0</v>
      </c>
      <c r="L93" s="653">
        <f>+SUM($C22:K22)+L22/2</f>
        <v>0</v>
      </c>
      <c r="M93" s="653">
        <f>+SUM($C22:L22)+M22/2</f>
        <v>0</v>
      </c>
      <c r="N93" s="653">
        <f>+SUM($C22:M22)+N22/2</f>
        <v>0</v>
      </c>
      <c r="O93" s="653">
        <f>+SUM($C22:N22)+O22/2</f>
        <v>0</v>
      </c>
      <c r="P93" s="653">
        <f>+SUM($C22:O22)+P22/2</f>
        <v>0</v>
      </c>
      <c r="Q93" s="653">
        <f>+SUM($C22:P22)+Q22/2</f>
        <v>0</v>
      </c>
      <c r="R93" s="653">
        <f>+SUM($C22:Q22)+R22/2</f>
        <v>0</v>
      </c>
      <c r="S93" s="653">
        <f>+SUM($C22:R22)+S22/2</f>
        <v>0</v>
      </c>
      <c r="T93" s="653">
        <f>+SUM($C22:S22)+T22/2</f>
        <v>0</v>
      </c>
      <c r="U93" s="653">
        <f>+SUM($C22:T22)+U22/2</f>
        <v>0</v>
      </c>
      <c r="V93" s="653">
        <f>+SUM($C22:U22)+V22/2</f>
        <v>0</v>
      </c>
      <c r="W93" s="653">
        <f>+SUM($C22:V22)+W22/2</f>
        <v>0</v>
      </c>
      <c r="X93" s="653">
        <f>+SUM($C22:W22)+X22/2</f>
        <v>0</v>
      </c>
      <c r="Y93" s="653">
        <f>+SUM($C22:X22)+Y22/2</f>
        <v>0</v>
      </c>
      <c r="Z93" s="653">
        <f>+SUM($C22:Y22)+Z22/2</f>
        <v>0</v>
      </c>
      <c r="AA93" s="653">
        <f>+SUM($C22:Z22)+AA22/2</f>
        <v>0</v>
      </c>
      <c r="AB93" s="653">
        <f>+SUM($C22:AA22)+AB22/2</f>
        <v>0</v>
      </c>
      <c r="AC93" s="653">
        <f>+SUM($C22:AB22)+AC22/2</f>
        <v>0</v>
      </c>
      <c r="AD93" s="653">
        <f>+SUM($C22:AC22)+AD22/2</f>
        <v>0</v>
      </c>
      <c r="AE93" s="653">
        <f>+SUM($C22:AD22)+AE22/2</f>
        <v>0</v>
      </c>
      <c r="AF93" s="653">
        <f>+SUM($C22:AE22)+AF22/2</f>
        <v>0</v>
      </c>
      <c r="AG93" s="653">
        <f>+SUM($C22:AF22)+AG22/2</f>
        <v>0</v>
      </c>
      <c r="AH93" s="653">
        <f>+SUM($C22:AG22)+AH22/2</f>
        <v>0</v>
      </c>
      <c r="AI93" s="653">
        <f>+SUM($C22:AH22)+AI22/2</f>
        <v>0</v>
      </c>
      <c r="AJ93" s="653">
        <f>+SUM($C22:AI22)+AJ22/2</f>
        <v>0</v>
      </c>
      <c r="AK93" s="653">
        <f>+SUM($C22:AJ22)+AK22/2</f>
        <v>0</v>
      </c>
      <c r="AL93" s="653">
        <f>+SUM($C22:AK22)+AL22/2</f>
        <v>0</v>
      </c>
      <c r="AM93" s="303">
        <f>+SUM($C22:AL22)+AM22/2</f>
        <v>0</v>
      </c>
      <c r="AN93" s="653">
        <f>+SUM($C22:AM22)+AN22/2</f>
        <v>0</v>
      </c>
      <c r="AO93" s="653">
        <f>+SUM($C22:AN22)+AO22/2</f>
        <v>0</v>
      </c>
      <c r="AP93" s="653">
        <f>+SUM($C22:AO22)+AP22/2</f>
        <v>0</v>
      </c>
      <c r="AQ93" s="653">
        <f>+SUM($C22:AP22)+AQ22/2</f>
        <v>0</v>
      </c>
      <c r="AR93" s="653">
        <f>+SUM($C22:AQ22)+AR22/2</f>
        <v>0</v>
      </c>
      <c r="AS93" s="653">
        <f>+SUM($C22:AR22)+AS22/2</f>
        <v>0</v>
      </c>
      <c r="AT93" s="653">
        <f t="shared" si="31"/>
        <v>0</v>
      </c>
    </row>
    <row r="94" spans="2:47" ht="12.75" x14ac:dyDescent="0.2">
      <c r="B94" s="307" t="s">
        <v>69</v>
      </c>
      <c r="C94" s="653">
        <f t="shared" si="34"/>
        <v>0</v>
      </c>
      <c r="D94" s="653">
        <f t="shared" si="35"/>
        <v>0</v>
      </c>
      <c r="E94" s="653">
        <f>+SUM($C23:D23)+E23/2</f>
        <v>0</v>
      </c>
      <c r="F94" s="653">
        <f>+SUM($C23:E23)+F23/2</f>
        <v>0</v>
      </c>
      <c r="G94" s="653">
        <f>+SUM($C23:F23)+G23/2</f>
        <v>0</v>
      </c>
      <c r="H94" s="653">
        <f>+SUM($C23:G23)+H23/2</f>
        <v>0</v>
      </c>
      <c r="I94" s="653">
        <f>+SUM($C23:H23)+I23/2</f>
        <v>0</v>
      </c>
      <c r="J94" s="653">
        <f>+SUM($C23:I23)+J23/2</f>
        <v>0</v>
      </c>
      <c r="K94" s="653">
        <f>+SUM($C23:J23)+K23/2</f>
        <v>0</v>
      </c>
      <c r="L94" s="653">
        <f>+SUM($C23:K23)+L23/2</f>
        <v>0</v>
      </c>
      <c r="M94" s="653">
        <f>+SUM($C23:L23)+M23/2</f>
        <v>0</v>
      </c>
      <c r="N94" s="653">
        <f>+SUM($C23:M23)+N23/2</f>
        <v>0</v>
      </c>
      <c r="O94" s="653">
        <f>+SUM($C23:N23)+O23/2</f>
        <v>0</v>
      </c>
      <c r="P94" s="653">
        <f>+SUM($C23:O23)+P23/2</f>
        <v>0</v>
      </c>
      <c r="Q94" s="653">
        <f>+SUM($C23:P23)+Q23/2</f>
        <v>0</v>
      </c>
      <c r="R94" s="653">
        <f>+SUM($C23:Q23)+R23/2</f>
        <v>0</v>
      </c>
      <c r="S94" s="653">
        <f>+SUM($C23:R23)+S23/2</f>
        <v>0</v>
      </c>
      <c r="T94" s="653">
        <f>+SUM($C23:S23)+T23/2</f>
        <v>0</v>
      </c>
      <c r="U94" s="653">
        <f>+SUM($C23:T23)+U23/2</f>
        <v>0</v>
      </c>
      <c r="V94" s="653">
        <f>+SUM($C23:U23)+V23/2</f>
        <v>0</v>
      </c>
      <c r="W94" s="653">
        <f>+SUM($C23:V23)+W23/2</f>
        <v>0</v>
      </c>
      <c r="X94" s="653">
        <f>+SUM($C23:W23)+X23/2</f>
        <v>0</v>
      </c>
      <c r="Y94" s="653">
        <f>+SUM($C23:X23)+Y23/2</f>
        <v>0</v>
      </c>
      <c r="Z94" s="653">
        <f>+SUM($C23:Y23)+Z23/2</f>
        <v>0</v>
      </c>
      <c r="AA94" s="653">
        <f>+SUM($C23:Z23)+AA23/2</f>
        <v>0</v>
      </c>
      <c r="AB94" s="653">
        <f>+SUM($C23:AA23)+AB23/2</f>
        <v>0</v>
      </c>
      <c r="AC94" s="653">
        <f>+SUM($C23:AB23)+AC23/2</f>
        <v>0</v>
      </c>
      <c r="AD94" s="653">
        <f>+SUM($C23:AC23)+AD23/2</f>
        <v>0</v>
      </c>
      <c r="AE94" s="653">
        <f>+SUM($C23:AD23)+AE23/2</f>
        <v>0</v>
      </c>
      <c r="AF94" s="653">
        <f>+SUM($C23:AE23)+AF23/2</f>
        <v>0</v>
      </c>
      <c r="AG94" s="653">
        <f>+SUM($C23:AF23)+AG23/2</f>
        <v>0</v>
      </c>
      <c r="AH94" s="653">
        <f>+SUM($C23:AG23)+AH23/2</f>
        <v>0</v>
      </c>
      <c r="AI94" s="653">
        <f>+SUM($C23:AH23)+AI23/2</f>
        <v>0</v>
      </c>
      <c r="AJ94" s="653">
        <f>+SUM($C23:AI23)+AJ23/2</f>
        <v>0</v>
      </c>
      <c r="AK94" s="653">
        <f>+SUM($C23:AJ23)+AK23/2</f>
        <v>0</v>
      </c>
      <c r="AL94" s="653">
        <f>+SUM($C23:AK23)+AL23/2</f>
        <v>0</v>
      </c>
      <c r="AM94" s="303">
        <f>+SUM($C23:AL23)+AM23/2</f>
        <v>0</v>
      </c>
      <c r="AN94" s="653">
        <f>+SUM($C23:AM23)+AN23/2</f>
        <v>0</v>
      </c>
      <c r="AO94" s="653">
        <f>+SUM($C23:AN23)+AO23/2</f>
        <v>0</v>
      </c>
      <c r="AP94" s="653">
        <f>+SUM($C23:AO23)+AP23/2</f>
        <v>0</v>
      </c>
      <c r="AQ94" s="653">
        <f>+SUM($C23:AP23)+AQ23/2</f>
        <v>0</v>
      </c>
      <c r="AR94" s="653">
        <f>+SUM($C23:AQ23)+AR23/2</f>
        <v>0</v>
      </c>
      <c r="AS94" s="653">
        <f>+SUM($C23:AR23)+AS23/2</f>
        <v>0</v>
      </c>
      <c r="AT94" s="653">
        <f t="shared" si="31"/>
        <v>0</v>
      </c>
    </row>
    <row r="95" spans="2:47" ht="12.75" x14ac:dyDescent="0.2">
      <c r="B95" s="307" t="s">
        <v>70</v>
      </c>
      <c r="C95" s="653">
        <f t="shared" si="34"/>
        <v>0</v>
      </c>
      <c r="D95" s="653">
        <f t="shared" si="35"/>
        <v>0</v>
      </c>
      <c r="E95" s="653">
        <f>+SUM($C24:D24)+E24/2</f>
        <v>0</v>
      </c>
      <c r="F95" s="653">
        <f>+SUM($C24:E24)+F24/2</f>
        <v>0</v>
      </c>
      <c r="G95" s="653">
        <f>+SUM($C24:F24)+G24/2</f>
        <v>0</v>
      </c>
      <c r="H95" s="653">
        <f>+SUM($C24:G24)+H24/2</f>
        <v>0</v>
      </c>
      <c r="I95" s="653">
        <f>+SUM($C24:H24)+I24/2</f>
        <v>0</v>
      </c>
      <c r="J95" s="653">
        <f>+SUM($C24:I24)+J24/2</f>
        <v>0</v>
      </c>
      <c r="K95" s="653">
        <f>+SUM($C24:J24)+K24/2</f>
        <v>0</v>
      </c>
      <c r="L95" s="653">
        <f>+SUM($C24:K24)+L24/2</f>
        <v>0</v>
      </c>
      <c r="M95" s="653">
        <f>+SUM($C24:L24)+M24/2</f>
        <v>0</v>
      </c>
      <c r="N95" s="653">
        <f>+SUM($C24:M24)+N24/2</f>
        <v>0</v>
      </c>
      <c r="O95" s="653">
        <f>+SUM($C24:N24)+O24/2</f>
        <v>0</v>
      </c>
      <c r="P95" s="653">
        <f>+SUM($C24:O24)+P24/2</f>
        <v>0</v>
      </c>
      <c r="Q95" s="653">
        <f>+SUM($C24:P24)+Q24/2</f>
        <v>0</v>
      </c>
      <c r="R95" s="653">
        <f>+SUM($C24:Q24)+R24/2</f>
        <v>0</v>
      </c>
      <c r="S95" s="653">
        <f>+SUM($C24:R24)+S24/2</f>
        <v>0</v>
      </c>
      <c r="T95" s="653">
        <f>+SUM($C24:S24)+T24/2</f>
        <v>0</v>
      </c>
      <c r="U95" s="653">
        <f>+SUM($C24:T24)+U24/2</f>
        <v>0</v>
      </c>
      <c r="V95" s="653">
        <f>+SUM($C24:U24)+V24/2</f>
        <v>0</v>
      </c>
      <c r="W95" s="653">
        <f>+SUM($C24:V24)+W24/2</f>
        <v>0</v>
      </c>
      <c r="X95" s="653">
        <f>+SUM($C24:W24)+X24/2</f>
        <v>0</v>
      </c>
      <c r="Y95" s="653">
        <f>+SUM($C24:X24)+Y24/2</f>
        <v>0</v>
      </c>
      <c r="Z95" s="653">
        <f>+SUM($C24:Y24)+Z24/2</f>
        <v>0</v>
      </c>
      <c r="AA95" s="653">
        <f>+SUM($C24:Z24)+AA24/2</f>
        <v>0</v>
      </c>
      <c r="AB95" s="653">
        <f>+SUM($C24:AA24)+AB24/2</f>
        <v>0</v>
      </c>
      <c r="AC95" s="653">
        <f>+SUM($C24:AB24)+AC24/2</f>
        <v>0</v>
      </c>
      <c r="AD95" s="653">
        <f>+SUM($C24:AC24)+AD24/2</f>
        <v>0</v>
      </c>
      <c r="AE95" s="653">
        <f>+SUM($C24:AD24)+AE24/2</f>
        <v>0</v>
      </c>
      <c r="AF95" s="653">
        <f>+SUM($C24:AE24)+AF24/2</f>
        <v>0</v>
      </c>
      <c r="AG95" s="653">
        <f>+SUM($C24:AF24)+AG24/2</f>
        <v>1673461.0012892135</v>
      </c>
      <c r="AH95" s="653">
        <f>+SUM($C24:AG24)+AH24/2</f>
        <v>5507699.5967218271</v>
      </c>
      <c r="AI95" s="653">
        <f>+SUM($C24:AH24)+AI24/2</f>
        <v>10195390.292965427</v>
      </c>
      <c r="AJ95" s="653">
        <f>+SUM($C24:AI24)+AJ24/2</f>
        <v>15150467.626274496</v>
      </c>
      <c r="AK95" s="653">
        <f>+SUM($C24:AJ24)+AK24/2</f>
        <v>20478631.857483365</v>
      </c>
      <c r="AL95" s="653">
        <f>+SUM($C24:AK24)+AL24/2</f>
        <v>23387548.220393363</v>
      </c>
      <c r="AM95" s="303">
        <f>+SUM($C24:AL24)+AM24/2</f>
        <v>23396464.583303366</v>
      </c>
      <c r="AN95" s="653">
        <f>+SUM($C24:AM24)+AN24/2</f>
        <v>23396464.583303366</v>
      </c>
      <c r="AO95" s="653">
        <f>+SUM($C24:AN24)+AO24/2</f>
        <v>23396464.583303366</v>
      </c>
      <c r="AP95" s="653">
        <f>+SUM($C24:AO24)+AP24/2</f>
        <v>23396464.583303366</v>
      </c>
      <c r="AQ95" s="653">
        <f>+SUM($C24:AP24)+AQ24/2</f>
        <v>23396464.583303366</v>
      </c>
      <c r="AR95" s="653">
        <f>+SUM($C24:AQ24)+AR24/2</f>
        <v>23396464.583303366</v>
      </c>
      <c r="AS95" s="653">
        <f>+SUM($C24:AR24)+AS24/2</f>
        <v>23396464.583303366</v>
      </c>
      <c r="AT95" s="653">
        <f t="shared" si="31"/>
        <v>240168450.67825124</v>
      </c>
    </row>
    <row r="96" spans="2:47" ht="12.75" x14ac:dyDescent="0.2">
      <c r="C96" s="653">
        <f t="shared" ref="C96:AT96" si="36">SUM(C80:C95)</f>
        <v>133547.58561088907</v>
      </c>
      <c r="D96" s="653">
        <f t="shared" si="36"/>
        <v>5680431.0251701418</v>
      </c>
      <c r="E96" s="653">
        <f t="shared" si="36"/>
        <v>18469941.665766448</v>
      </c>
      <c r="F96" s="653">
        <f t="shared" si="36"/>
        <v>42937413.848979153</v>
      </c>
      <c r="G96" s="653">
        <f t="shared" si="36"/>
        <v>82778703.683698818</v>
      </c>
      <c r="H96" s="653">
        <f t="shared" si="36"/>
        <v>127456693.31316842</v>
      </c>
      <c r="I96" s="653">
        <f t="shared" si="36"/>
        <v>169978884.08771741</v>
      </c>
      <c r="J96" s="653">
        <f t="shared" si="36"/>
        <v>206459077.45489901</v>
      </c>
      <c r="K96" s="653">
        <f t="shared" si="36"/>
        <v>234687191.85481259</v>
      </c>
      <c r="L96" s="653">
        <f t="shared" si="36"/>
        <v>260779447.98530844</v>
      </c>
      <c r="M96" s="653">
        <f t="shared" si="36"/>
        <v>313537494.86874795</v>
      </c>
      <c r="N96" s="653">
        <f t="shared" si="36"/>
        <v>384259640.81235838</v>
      </c>
      <c r="O96" s="653">
        <f t="shared" si="36"/>
        <v>462647406.82726586</v>
      </c>
      <c r="P96" s="653">
        <f t="shared" si="36"/>
        <v>562916985.52446795</v>
      </c>
      <c r="Q96" s="653">
        <f t="shared" si="36"/>
        <v>674558199.28146267</v>
      </c>
      <c r="R96" s="653">
        <f t="shared" si="36"/>
        <v>829895502.06926656</v>
      </c>
      <c r="S96" s="653">
        <f t="shared" si="36"/>
        <v>1048080571.3570703</v>
      </c>
      <c r="T96" s="653">
        <f t="shared" si="36"/>
        <v>1249522242.8570702</v>
      </c>
      <c r="U96" s="653">
        <f t="shared" si="36"/>
        <v>1413819582.3570702</v>
      </c>
      <c r="V96" s="653">
        <f t="shared" si="36"/>
        <v>1563515883.3570702</v>
      </c>
      <c r="W96" s="653">
        <f t="shared" si="36"/>
        <v>1687259741.3570702</v>
      </c>
      <c r="X96" s="653">
        <f t="shared" si="36"/>
        <v>1808746263.3570702</v>
      </c>
      <c r="Y96" s="653">
        <f t="shared" si="36"/>
        <v>1918044361.8570702</v>
      </c>
      <c r="Z96" s="653">
        <f t="shared" si="36"/>
        <v>2012935491.9569759</v>
      </c>
      <c r="AA96" s="653">
        <f t="shared" si="36"/>
        <v>2111634013.5341716</v>
      </c>
      <c r="AB96" s="653">
        <f t="shared" si="36"/>
        <v>2214615101.4145241</v>
      </c>
      <c r="AC96" s="653">
        <f t="shared" si="36"/>
        <v>2298332876.7838545</v>
      </c>
      <c r="AD96" s="653">
        <f t="shared" si="36"/>
        <v>2384238042.4423189</v>
      </c>
      <c r="AE96" s="653">
        <f t="shared" si="36"/>
        <v>2488010771.2845688</v>
      </c>
      <c r="AF96" s="653">
        <f t="shared" si="36"/>
        <v>2606604905.2539282</v>
      </c>
      <c r="AG96" s="653">
        <f t="shared" si="36"/>
        <v>2775159053.5022392</v>
      </c>
      <c r="AH96" s="653">
        <f t="shared" si="36"/>
        <v>2943563659.4954419</v>
      </c>
      <c r="AI96" s="653">
        <f t="shared" si="36"/>
        <v>3083304822.6793652</v>
      </c>
      <c r="AJ96" s="653">
        <f t="shared" si="36"/>
        <v>3229417393.2805395</v>
      </c>
      <c r="AK96" s="653">
        <f t="shared" si="36"/>
        <v>3360031021.7619891</v>
      </c>
      <c r="AL96" s="653">
        <f t="shared" si="36"/>
        <v>3425073392.4229889</v>
      </c>
      <c r="AM96" s="653">
        <f t="shared" si="36"/>
        <v>3448104037.4408898</v>
      </c>
      <c r="AN96" s="653">
        <f t="shared" si="36"/>
        <v>3471111194.3726945</v>
      </c>
      <c r="AO96" s="653">
        <f t="shared" si="36"/>
        <v>3493152449.8898344</v>
      </c>
      <c r="AP96" s="653">
        <f t="shared" si="36"/>
        <v>3514298466.0705199</v>
      </c>
      <c r="AQ96" s="653">
        <f t="shared" si="36"/>
        <v>3535540510.2593198</v>
      </c>
      <c r="AR96" s="653">
        <f t="shared" si="36"/>
        <v>3564449216.0140247</v>
      </c>
      <c r="AS96" s="653">
        <f t="shared" si="36"/>
        <v>3599404832.2911515</v>
      </c>
      <c r="AT96" s="653">
        <f t="shared" si="36"/>
        <v>74625146460.53952</v>
      </c>
    </row>
    <row r="97" spans="2:48" ht="12.75" x14ac:dyDescent="0.2">
      <c r="C97" s="428"/>
      <c r="D97" s="428"/>
      <c r="E97" s="428"/>
      <c r="F97" s="428"/>
      <c r="G97" s="428"/>
      <c r="H97" s="428"/>
      <c r="I97" s="428"/>
      <c r="J97" s="428"/>
      <c r="K97" s="428"/>
      <c r="L97" s="428"/>
      <c r="M97" s="428"/>
      <c r="N97" s="428"/>
      <c r="O97" s="428"/>
      <c r="P97" s="428"/>
      <c r="Q97" s="428"/>
      <c r="R97" s="428"/>
      <c r="S97" s="428"/>
      <c r="T97" s="428"/>
      <c r="U97" s="428"/>
      <c r="V97" s="428"/>
      <c r="W97" s="428"/>
      <c r="X97" s="428"/>
      <c r="Y97" s="428"/>
      <c r="Z97" s="428"/>
      <c r="AA97" s="428"/>
      <c r="AB97" s="428"/>
      <c r="AC97" s="428"/>
      <c r="AD97" s="428"/>
      <c r="AE97" s="428"/>
      <c r="AF97" s="428"/>
      <c r="AG97" s="428"/>
      <c r="AH97" s="428"/>
      <c r="AI97" s="428"/>
      <c r="AJ97" s="428"/>
      <c r="AK97" s="428"/>
      <c r="AL97" s="428"/>
      <c r="AM97" s="428"/>
      <c r="AN97" s="428"/>
      <c r="AO97" s="428"/>
      <c r="AP97" s="428"/>
      <c r="AQ97" s="428"/>
      <c r="AR97" s="428"/>
      <c r="AS97" s="428"/>
      <c r="AT97" s="428"/>
    </row>
    <row r="98" spans="2:48" ht="15.75" x14ac:dyDescent="0.25">
      <c r="B98" s="401" t="s">
        <v>279</v>
      </c>
      <c r="C98" s="653"/>
      <c r="D98" s="653"/>
      <c r="E98" s="653"/>
      <c r="F98" s="653"/>
      <c r="G98" s="653"/>
      <c r="H98" s="653"/>
      <c r="I98" s="653"/>
      <c r="J98" s="653"/>
      <c r="K98" s="653"/>
      <c r="L98" s="653"/>
      <c r="M98" s="653"/>
      <c r="N98" s="653"/>
      <c r="O98" s="653"/>
      <c r="P98" s="653"/>
      <c r="Q98" s="653"/>
      <c r="R98" s="653"/>
      <c r="S98" s="653"/>
      <c r="T98" s="653"/>
      <c r="U98" s="653"/>
      <c r="V98" s="653"/>
      <c r="W98" s="653"/>
      <c r="X98" s="653"/>
      <c r="Y98" s="653"/>
      <c r="Z98" s="653"/>
      <c r="AA98" s="653"/>
      <c r="AB98" s="653"/>
      <c r="AC98" s="653"/>
      <c r="AD98" s="653"/>
      <c r="AE98" s="653"/>
      <c r="AF98" s="653"/>
      <c r="AG98" s="653"/>
      <c r="AH98" s="653"/>
      <c r="AI98" s="653"/>
      <c r="AJ98" s="653"/>
      <c r="AK98" s="653"/>
      <c r="AL98" s="653"/>
      <c r="AM98" s="653"/>
      <c r="AN98" s="653"/>
      <c r="AO98" s="653"/>
      <c r="AP98" s="653"/>
      <c r="AQ98" s="653"/>
      <c r="AR98" s="653"/>
      <c r="AS98" s="653"/>
      <c r="AT98" s="653"/>
    </row>
    <row r="99" spans="2:48" ht="12.75" x14ac:dyDescent="0.2">
      <c r="B99" s="307" t="s">
        <v>54</v>
      </c>
      <c r="C99" s="653"/>
      <c r="D99" s="653"/>
      <c r="E99" s="653"/>
      <c r="F99" s="653"/>
      <c r="G99" s="653"/>
      <c r="H99" s="653"/>
      <c r="I99" s="653"/>
      <c r="J99" s="653"/>
      <c r="K99" s="653"/>
      <c r="L99" s="653"/>
      <c r="M99" s="653"/>
      <c r="N99" s="653"/>
      <c r="O99" s="653"/>
      <c r="P99" s="653"/>
      <c r="Q99" s="653"/>
      <c r="R99" s="653"/>
      <c r="S99" s="653"/>
      <c r="T99" s="653"/>
      <c r="U99" s="653"/>
      <c r="V99" s="653"/>
      <c r="W99" s="653"/>
      <c r="X99" s="653"/>
      <c r="Y99" s="653"/>
      <c r="Z99" s="653"/>
      <c r="AA99" s="653"/>
      <c r="AB99" s="653"/>
      <c r="AC99" s="653"/>
      <c r="AD99" s="653"/>
      <c r="AE99" s="653"/>
      <c r="AF99" s="653"/>
      <c r="AG99" s="653"/>
      <c r="AH99" s="653"/>
      <c r="AI99" s="653"/>
      <c r="AJ99" s="653"/>
      <c r="AK99" s="653"/>
      <c r="AL99" s="653"/>
      <c r="AM99" s="653"/>
      <c r="AN99" s="653"/>
      <c r="AO99" s="653"/>
      <c r="AP99" s="653"/>
      <c r="AQ99" s="653"/>
      <c r="AR99" s="653"/>
      <c r="AS99" s="653"/>
      <c r="AT99" s="653"/>
    </row>
    <row r="100" spans="2:48" ht="12.75" x14ac:dyDescent="0.2">
      <c r="B100" s="307" t="s">
        <v>16</v>
      </c>
      <c r="C100" s="653">
        <f>SUM(C155:C172)</f>
        <v>0</v>
      </c>
      <c r="D100" s="653">
        <f t="shared" ref="D100:AN100" si="37">SUM(D155:D172)</f>
        <v>0</v>
      </c>
      <c r="E100" s="653">
        <f t="shared" si="37"/>
        <v>0</v>
      </c>
      <c r="F100" s="653">
        <f t="shared" si="37"/>
        <v>0</v>
      </c>
      <c r="G100" s="653">
        <f t="shared" si="37"/>
        <v>0</v>
      </c>
      <c r="H100" s="653">
        <f t="shared" si="37"/>
        <v>0</v>
      </c>
      <c r="I100" s="653">
        <f t="shared" si="37"/>
        <v>0</v>
      </c>
      <c r="J100" s="653">
        <f t="shared" si="37"/>
        <v>0</v>
      </c>
      <c r="K100" s="653">
        <f t="shared" si="37"/>
        <v>0</v>
      </c>
      <c r="L100" s="653">
        <f t="shared" si="37"/>
        <v>0</v>
      </c>
      <c r="M100" s="653">
        <f t="shared" si="37"/>
        <v>0</v>
      </c>
      <c r="N100" s="653">
        <f t="shared" si="37"/>
        <v>0</v>
      </c>
      <c r="O100" s="653">
        <f t="shared" si="37"/>
        <v>0</v>
      </c>
      <c r="P100" s="653">
        <f t="shared" si="37"/>
        <v>0</v>
      </c>
      <c r="Q100" s="653">
        <f t="shared" si="37"/>
        <v>0</v>
      </c>
      <c r="R100" s="653">
        <f t="shared" si="37"/>
        <v>0</v>
      </c>
      <c r="S100" s="653">
        <f t="shared" si="37"/>
        <v>0</v>
      </c>
      <c r="T100" s="653">
        <f t="shared" si="37"/>
        <v>0</v>
      </c>
      <c r="U100" s="653">
        <f t="shared" si="37"/>
        <v>0</v>
      </c>
      <c r="V100" s="653">
        <f t="shared" si="37"/>
        <v>0</v>
      </c>
      <c r="W100" s="653">
        <f t="shared" si="37"/>
        <v>133547.58561088907</v>
      </c>
      <c r="X100" s="653">
        <f t="shared" si="37"/>
        <v>5680431.0251701418</v>
      </c>
      <c r="Y100" s="653">
        <f t="shared" si="37"/>
        <v>18469941.665766448</v>
      </c>
      <c r="Z100" s="653">
        <f t="shared" si="37"/>
        <v>42937413.848979153</v>
      </c>
      <c r="AA100" s="653">
        <f t="shared" si="37"/>
        <v>82778703.683698818</v>
      </c>
      <c r="AB100" s="653">
        <f t="shared" si="37"/>
        <v>127456693.31316842</v>
      </c>
      <c r="AC100" s="653">
        <f t="shared" si="37"/>
        <v>169978884.08771741</v>
      </c>
      <c r="AD100" s="653">
        <f t="shared" si="37"/>
        <v>206459077.45489901</v>
      </c>
      <c r="AE100" s="653">
        <f t="shared" si="37"/>
        <v>234687191.85481259</v>
      </c>
      <c r="AF100" s="653">
        <f t="shared" si="37"/>
        <v>260779447.98530844</v>
      </c>
      <c r="AG100" s="653">
        <f t="shared" si="37"/>
        <v>282163570.27114618</v>
      </c>
      <c r="AH100" s="653">
        <f t="shared" si="37"/>
        <v>300247946.4189263</v>
      </c>
      <c r="AI100" s="653">
        <f t="shared" si="37"/>
        <v>316891846.7105974</v>
      </c>
      <c r="AJ100" s="653">
        <f t="shared" si="37"/>
        <v>329007513.23322892</v>
      </c>
      <c r="AK100" s="653">
        <f t="shared" si="37"/>
        <v>339955095.84066117</v>
      </c>
      <c r="AL100" s="653">
        <f t="shared" si="37"/>
        <v>360313866.34066117</v>
      </c>
      <c r="AM100" s="653">
        <f t="shared" si="37"/>
        <v>396508774.34066117</v>
      </c>
      <c r="AN100" s="653">
        <f t="shared" si="37"/>
        <v>426035969.84066117</v>
      </c>
      <c r="AO100" s="653">
        <f>SUM(AO155:AO177)</f>
        <v>439310043.84066117</v>
      </c>
      <c r="AP100" s="653">
        <f t="shared" ref="AP100:AS100" si="38">SUM(AP155:AP177)</f>
        <v>447851508.84066117</v>
      </c>
      <c r="AQ100" s="653">
        <f t="shared" si="38"/>
        <v>459909417.84066117</v>
      </c>
      <c r="AR100" s="653">
        <f t="shared" si="38"/>
        <v>477488290.84066117</v>
      </c>
      <c r="AS100" s="653">
        <f t="shared" si="38"/>
        <v>492534209.84066117</v>
      </c>
      <c r="AT100" s="653">
        <f>SUM(AT155:AT177)</f>
        <v>6217579386.7049818</v>
      </c>
    </row>
    <row r="101" spans="2:48" ht="12.75" x14ac:dyDescent="0.2">
      <c r="B101" s="307" t="s">
        <v>56</v>
      </c>
      <c r="C101" s="653"/>
      <c r="D101" s="653"/>
      <c r="E101" s="653"/>
      <c r="F101" s="653"/>
      <c r="G101" s="653"/>
      <c r="H101" s="653"/>
      <c r="I101" s="653"/>
      <c r="J101" s="653"/>
      <c r="K101" s="653"/>
      <c r="L101" s="653"/>
      <c r="M101" s="653"/>
      <c r="N101" s="653"/>
      <c r="O101" s="653"/>
      <c r="P101" s="653"/>
      <c r="Q101" s="653"/>
      <c r="R101" s="653"/>
      <c r="S101" s="653"/>
      <c r="T101" s="653"/>
      <c r="U101" s="653"/>
      <c r="V101" s="653"/>
      <c r="W101" s="653"/>
      <c r="X101" s="653"/>
      <c r="Y101" s="653"/>
      <c r="Z101" s="653"/>
      <c r="AA101" s="653"/>
      <c r="AB101" s="653"/>
      <c r="AC101" s="653"/>
      <c r="AD101" s="653"/>
      <c r="AE101" s="653"/>
      <c r="AF101" s="653"/>
      <c r="AG101" s="653"/>
      <c r="AH101" s="653"/>
      <c r="AI101" s="653"/>
      <c r="AJ101" s="653"/>
      <c r="AK101" s="653"/>
      <c r="AL101" s="653"/>
      <c r="AM101" s="653">
        <f>SUM(AM190:AM196)</f>
        <v>2625655.9672554932</v>
      </c>
      <c r="AN101" s="653">
        <f t="shared" ref="AN101:AT101" si="39">SUM(AN190:AN196)</f>
        <v>25642166.764516383</v>
      </c>
      <c r="AO101" s="653">
        <f t="shared" si="39"/>
        <v>46273837.821891867</v>
      </c>
      <c r="AP101" s="653">
        <f t="shared" si="39"/>
        <v>49374172.959845901</v>
      </c>
      <c r="AQ101" s="653">
        <f t="shared" si="39"/>
        <v>62541867.835159034</v>
      </c>
      <c r="AR101" s="653">
        <f t="shared" si="39"/>
        <v>74455824.545913622</v>
      </c>
      <c r="AS101" s="653">
        <f t="shared" si="39"/>
        <v>76987499.759672388</v>
      </c>
      <c r="AT101" s="653">
        <f t="shared" si="39"/>
        <v>337901025.65425473</v>
      </c>
    </row>
    <row r="102" spans="2:48" ht="12.75" x14ac:dyDescent="0.2">
      <c r="B102" s="307" t="s">
        <v>57</v>
      </c>
      <c r="C102" s="653"/>
      <c r="D102" s="653"/>
      <c r="E102" s="653"/>
      <c r="F102" s="653"/>
      <c r="G102" s="653"/>
      <c r="H102" s="653"/>
      <c r="I102" s="653"/>
      <c r="J102" s="653"/>
      <c r="K102" s="653"/>
      <c r="L102" s="653"/>
      <c r="M102" s="653"/>
      <c r="N102" s="653"/>
      <c r="O102" s="653"/>
      <c r="P102" s="653"/>
      <c r="Q102" s="653"/>
      <c r="R102" s="653"/>
      <c r="S102" s="653"/>
      <c r="T102" s="653"/>
      <c r="U102" s="653"/>
      <c r="V102" s="653"/>
      <c r="W102" s="653"/>
      <c r="X102" s="653"/>
      <c r="Y102" s="653"/>
      <c r="Z102" s="653"/>
      <c r="AA102" s="653"/>
      <c r="AB102" s="653"/>
      <c r="AC102" s="653"/>
      <c r="AD102" s="653"/>
      <c r="AE102" s="653"/>
      <c r="AF102" s="653"/>
      <c r="AG102" s="653"/>
      <c r="AH102" s="653"/>
      <c r="AI102" s="653"/>
      <c r="AJ102" s="653"/>
      <c r="AK102" s="653"/>
      <c r="AL102" s="653"/>
      <c r="AM102" s="653"/>
      <c r="AN102" s="653"/>
      <c r="AO102" s="653"/>
      <c r="AP102" s="653"/>
      <c r="AQ102" s="653"/>
      <c r="AR102" s="653"/>
      <c r="AS102" s="653"/>
      <c r="AT102" s="653"/>
    </row>
    <row r="103" spans="2:48" ht="12.75" x14ac:dyDescent="0.2">
      <c r="B103" s="307" t="s">
        <v>111</v>
      </c>
      <c r="C103" s="653">
        <f>SUM(C119:C123)</f>
        <v>0</v>
      </c>
      <c r="D103" s="653">
        <f t="shared" ref="D103:AT103" si="40">SUM(D119:D123)</f>
        <v>0</v>
      </c>
      <c r="E103" s="653">
        <f t="shared" si="40"/>
        <v>0</v>
      </c>
      <c r="F103" s="653">
        <f t="shared" si="40"/>
        <v>0</v>
      </c>
      <c r="G103" s="653">
        <f t="shared" si="40"/>
        <v>0</v>
      </c>
      <c r="H103" s="653">
        <f t="shared" si="40"/>
        <v>0</v>
      </c>
      <c r="I103" s="653">
        <f t="shared" si="40"/>
        <v>0</v>
      </c>
      <c r="J103" s="653">
        <f t="shared" si="40"/>
        <v>0</v>
      </c>
      <c r="K103" s="653">
        <f t="shared" si="40"/>
        <v>0</v>
      </c>
      <c r="L103" s="653">
        <f t="shared" si="40"/>
        <v>0</v>
      </c>
      <c r="M103" s="653">
        <f t="shared" si="40"/>
        <v>0</v>
      </c>
      <c r="N103" s="653">
        <f t="shared" si="40"/>
        <v>0</v>
      </c>
      <c r="O103" s="653">
        <f t="shared" si="40"/>
        <v>0</v>
      </c>
      <c r="P103" s="653">
        <f t="shared" si="40"/>
        <v>0</v>
      </c>
      <c r="Q103" s="653">
        <f t="shared" si="40"/>
        <v>0</v>
      </c>
      <c r="R103" s="653">
        <f t="shared" si="40"/>
        <v>0</v>
      </c>
      <c r="S103" s="653">
        <f t="shared" si="40"/>
        <v>0</v>
      </c>
      <c r="T103" s="653">
        <f t="shared" si="40"/>
        <v>0</v>
      </c>
      <c r="U103" s="653">
        <f t="shared" si="40"/>
        <v>0</v>
      </c>
      <c r="V103" s="653">
        <f t="shared" si="40"/>
        <v>0</v>
      </c>
      <c r="W103" s="653">
        <f t="shared" si="40"/>
        <v>2561556.1196932052</v>
      </c>
      <c r="X103" s="653">
        <f t="shared" si="40"/>
        <v>7395257.6428648587</v>
      </c>
      <c r="Y103" s="653">
        <f t="shared" si="40"/>
        <v>9789880.090742141</v>
      </c>
      <c r="Z103" s="653">
        <f t="shared" si="40"/>
        <v>10030419.682402506</v>
      </c>
      <c r="AA103" s="653">
        <f t="shared" si="40"/>
        <v>10259536.229664037</v>
      </c>
      <c r="AB103" s="653">
        <f t="shared" si="40"/>
        <v>10370590.229664037</v>
      </c>
      <c r="AC103" s="653">
        <f t="shared" si="40"/>
        <v>10370590.229664037</v>
      </c>
      <c r="AD103" s="653">
        <f t="shared" si="40"/>
        <v>10370590.229664037</v>
      </c>
      <c r="AE103" s="653">
        <f t="shared" si="40"/>
        <v>10370590.229664037</v>
      </c>
      <c r="AF103" s="653">
        <f t="shared" si="40"/>
        <v>10370590.229664037</v>
      </c>
      <c r="AG103" s="653">
        <f t="shared" si="40"/>
        <v>10370590.229664037</v>
      </c>
      <c r="AH103" s="653">
        <f t="shared" si="40"/>
        <v>10370590.229664037</v>
      </c>
      <c r="AI103" s="653">
        <f t="shared" si="40"/>
        <v>10370590.229664037</v>
      </c>
      <c r="AJ103" s="653">
        <f t="shared" si="40"/>
        <v>10370590.229664037</v>
      </c>
      <c r="AK103" s="653">
        <f t="shared" si="40"/>
        <v>10370590.229664037</v>
      </c>
      <c r="AL103" s="653">
        <f t="shared" si="40"/>
        <v>10370590.229664037</v>
      </c>
      <c r="AM103" s="653">
        <f t="shared" si="40"/>
        <v>10370590.229664037</v>
      </c>
      <c r="AN103" s="653">
        <f t="shared" si="40"/>
        <v>10370590.229664037</v>
      </c>
      <c r="AO103" s="653">
        <f t="shared" si="40"/>
        <v>10370590.229664037</v>
      </c>
      <c r="AP103" s="653">
        <f t="shared" si="40"/>
        <v>10370590.229664037</v>
      </c>
      <c r="AQ103" s="653">
        <f t="shared" si="40"/>
        <v>10370590.229664037</v>
      </c>
      <c r="AR103" s="653">
        <f t="shared" si="40"/>
        <v>10370590.229664037</v>
      </c>
      <c r="AS103" s="653">
        <f t="shared" si="40"/>
        <v>10370590.229664037</v>
      </c>
      <c r="AT103" s="653">
        <f t="shared" si="40"/>
        <v>226707273.89931944</v>
      </c>
    </row>
    <row r="104" spans="2:48" ht="12.75" x14ac:dyDescent="0.2">
      <c r="B104" s="307" t="s">
        <v>90</v>
      </c>
      <c r="C104" s="653">
        <f>SUM(C124:C136)</f>
        <v>0</v>
      </c>
      <c r="D104" s="653">
        <f t="shared" ref="D104:AN104" si="41">SUM(D124:D136)</f>
        <v>0</v>
      </c>
      <c r="E104" s="653">
        <f t="shared" si="41"/>
        <v>0</v>
      </c>
      <c r="F104" s="653">
        <f t="shared" si="41"/>
        <v>0</v>
      </c>
      <c r="G104" s="653">
        <f t="shared" si="41"/>
        <v>0</v>
      </c>
      <c r="H104" s="653">
        <f t="shared" si="41"/>
        <v>0</v>
      </c>
      <c r="I104" s="653">
        <f t="shared" si="41"/>
        <v>0</v>
      </c>
      <c r="J104" s="653">
        <f t="shared" si="41"/>
        <v>0</v>
      </c>
      <c r="K104" s="653">
        <f t="shared" si="41"/>
        <v>0</v>
      </c>
      <c r="L104" s="653">
        <f t="shared" si="41"/>
        <v>0</v>
      </c>
      <c r="M104" s="653">
        <f t="shared" si="41"/>
        <v>0</v>
      </c>
      <c r="N104" s="653">
        <f t="shared" si="41"/>
        <v>0</v>
      </c>
      <c r="O104" s="653">
        <f t="shared" si="41"/>
        <v>0</v>
      </c>
      <c r="P104" s="653">
        <f t="shared" si="41"/>
        <v>0</v>
      </c>
      <c r="Q104" s="653">
        <f t="shared" si="41"/>
        <v>0</v>
      </c>
      <c r="R104" s="653">
        <f t="shared" si="41"/>
        <v>0</v>
      </c>
      <c r="S104" s="653">
        <f t="shared" si="41"/>
        <v>0</v>
      </c>
      <c r="T104" s="653">
        <f t="shared" si="41"/>
        <v>0</v>
      </c>
      <c r="U104" s="653">
        <f t="shared" si="41"/>
        <v>0</v>
      </c>
      <c r="V104" s="653">
        <f t="shared" si="41"/>
        <v>0</v>
      </c>
      <c r="W104" s="653">
        <f t="shared" si="41"/>
        <v>0</v>
      </c>
      <c r="X104" s="653">
        <f t="shared" si="41"/>
        <v>0</v>
      </c>
      <c r="Y104" s="653">
        <f t="shared" si="41"/>
        <v>0</v>
      </c>
      <c r="Z104" s="653">
        <f t="shared" si="41"/>
        <v>0</v>
      </c>
      <c r="AA104" s="653">
        <f t="shared" si="41"/>
        <v>0</v>
      </c>
      <c r="AB104" s="653">
        <f t="shared" si="41"/>
        <v>5586676.0289510647</v>
      </c>
      <c r="AC104" s="653">
        <f t="shared" si="41"/>
        <v>21240764.826617695</v>
      </c>
      <c r="AD104" s="653">
        <f t="shared" si="41"/>
        <v>60178243.491411909</v>
      </c>
      <c r="AE104" s="653">
        <f t="shared" si="41"/>
        <v>121954043.42659608</v>
      </c>
      <c r="AF104" s="653">
        <f t="shared" si="41"/>
        <v>194394077.46570164</v>
      </c>
      <c r="AG104" s="653">
        <f t="shared" si="41"/>
        <v>301362201.46570164</v>
      </c>
      <c r="AH104" s="653">
        <f t="shared" si="41"/>
        <v>451603107.96570164</v>
      </c>
      <c r="AI104" s="653">
        <f t="shared" si="41"/>
        <v>597634925.96570158</v>
      </c>
      <c r="AJ104" s="653">
        <f t="shared" si="41"/>
        <v>734511944.96570158</v>
      </c>
      <c r="AK104" s="653">
        <f t="shared" si="41"/>
        <v>866449428.96570158</v>
      </c>
      <c r="AL104" s="653">
        <f t="shared" si="41"/>
        <v>968844133.46570158</v>
      </c>
      <c r="AM104" s="653">
        <f t="shared" si="41"/>
        <v>1059760391.4657016</v>
      </c>
      <c r="AN104" s="653">
        <f t="shared" si="41"/>
        <v>1141391137.4657016</v>
      </c>
      <c r="AO104" s="653">
        <f>SUM(AO124:AO141)</f>
        <v>1217553795.5255592</v>
      </c>
      <c r="AP104" s="653">
        <f t="shared" ref="AP104:AS104" si="42">SUM(AP124:AP141)</f>
        <v>1301948148.4301682</v>
      </c>
      <c r="AQ104" s="653">
        <f t="shared" si="42"/>
        <v>1389588363.5494864</v>
      </c>
      <c r="AR104" s="653">
        <f t="shared" si="42"/>
        <v>1449793880.3211937</v>
      </c>
      <c r="AS104" s="653">
        <f t="shared" si="42"/>
        <v>1491435539.0064082</v>
      </c>
      <c r="AT104" s="653">
        <f>SUM(AT124:AT141)</f>
        <v>13375230803.797707</v>
      </c>
    </row>
    <row r="105" spans="2:48" ht="12.75" x14ac:dyDescent="0.2">
      <c r="B105" s="307" t="s">
        <v>61</v>
      </c>
      <c r="C105" s="653"/>
      <c r="D105" s="653"/>
      <c r="E105" s="653"/>
      <c r="F105" s="653"/>
      <c r="G105" s="653"/>
      <c r="H105" s="653"/>
      <c r="I105" s="653"/>
      <c r="J105" s="653"/>
      <c r="K105" s="653"/>
      <c r="L105" s="653"/>
      <c r="M105" s="653"/>
      <c r="N105" s="653"/>
      <c r="O105" s="653"/>
      <c r="P105" s="653"/>
      <c r="Q105" s="653"/>
      <c r="R105" s="653"/>
      <c r="S105" s="653"/>
      <c r="T105" s="653"/>
      <c r="U105" s="653"/>
      <c r="V105" s="653"/>
      <c r="W105" s="653"/>
      <c r="X105" s="653"/>
      <c r="Y105" s="653"/>
      <c r="Z105" s="653"/>
      <c r="AA105" s="653"/>
      <c r="AB105" s="653"/>
      <c r="AC105" s="653"/>
      <c r="AD105" s="653"/>
      <c r="AE105" s="653"/>
      <c r="AF105" s="653"/>
      <c r="AG105" s="653"/>
      <c r="AH105" s="653"/>
      <c r="AI105" s="653"/>
      <c r="AJ105" s="653"/>
      <c r="AK105" s="653"/>
      <c r="AL105" s="653"/>
      <c r="AM105" s="653">
        <f>SUM(AM197:AM203)</f>
        <v>1206870.4763962408</v>
      </c>
      <c r="AN105" s="653">
        <f t="shared" ref="AN105:AT105" si="43">SUM(AN197:AN203)</f>
        <v>10373036.620935509</v>
      </c>
      <c r="AO105" s="653">
        <f t="shared" si="43"/>
        <v>30753419.034244359</v>
      </c>
      <c r="AP105" s="653">
        <f t="shared" si="43"/>
        <v>55181335.779410183</v>
      </c>
      <c r="AQ105" s="653">
        <f t="shared" si="43"/>
        <v>81102040.279410183</v>
      </c>
      <c r="AR105" s="653">
        <f t="shared" si="43"/>
        <v>111882061.77941018</v>
      </c>
      <c r="AS105" s="653">
        <f t="shared" si="43"/>
        <v>137157846.27941018</v>
      </c>
      <c r="AT105" s="653">
        <f t="shared" si="43"/>
        <v>427656610.24921679</v>
      </c>
    </row>
    <row r="106" spans="2:48" ht="12.75" x14ac:dyDescent="0.2">
      <c r="B106" s="307" t="s">
        <v>62</v>
      </c>
      <c r="C106" s="653">
        <f>SUM(C149:C154)</f>
        <v>0</v>
      </c>
      <c r="D106" s="653">
        <f t="shared" ref="D106:AT106" si="44">SUM(D149:D154)</f>
        <v>0</v>
      </c>
      <c r="E106" s="653">
        <f t="shared" si="44"/>
        <v>0</v>
      </c>
      <c r="F106" s="653">
        <f t="shared" si="44"/>
        <v>0</v>
      </c>
      <c r="G106" s="653">
        <f t="shared" si="44"/>
        <v>0</v>
      </c>
      <c r="H106" s="653">
        <f t="shared" si="44"/>
        <v>0</v>
      </c>
      <c r="I106" s="653">
        <f t="shared" si="44"/>
        <v>0</v>
      </c>
      <c r="J106" s="653">
        <f t="shared" si="44"/>
        <v>0</v>
      </c>
      <c r="K106" s="653">
        <f t="shared" si="44"/>
        <v>0</v>
      </c>
      <c r="L106" s="653">
        <f t="shared" si="44"/>
        <v>0</v>
      </c>
      <c r="M106" s="653">
        <f t="shared" si="44"/>
        <v>0</v>
      </c>
      <c r="N106" s="653">
        <f t="shared" si="44"/>
        <v>0</v>
      </c>
      <c r="O106" s="653">
        <f t="shared" si="44"/>
        <v>0</v>
      </c>
      <c r="P106" s="653">
        <f t="shared" si="44"/>
        <v>0</v>
      </c>
      <c r="Q106" s="653">
        <f t="shared" si="44"/>
        <v>0</v>
      </c>
      <c r="R106" s="653">
        <f t="shared" si="44"/>
        <v>0</v>
      </c>
      <c r="S106" s="653">
        <f t="shared" si="44"/>
        <v>0</v>
      </c>
      <c r="T106" s="653">
        <f t="shared" si="44"/>
        <v>0</v>
      </c>
      <c r="U106" s="653">
        <f t="shared" si="44"/>
        <v>0</v>
      </c>
      <c r="V106" s="653">
        <f t="shared" si="44"/>
        <v>0</v>
      </c>
      <c r="W106" s="653">
        <f t="shared" si="44"/>
        <v>0</v>
      </c>
      <c r="X106" s="653">
        <f t="shared" si="44"/>
        <v>0</v>
      </c>
      <c r="Y106" s="653">
        <f t="shared" si="44"/>
        <v>0</v>
      </c>
      <c r="Z106" s="653">
        <f t="shared" si="44"/>
        <v>0</v>
      </c>
      <c r="AA106" s="653">
        <f t="shared" si="44"/>
        <v>0</v>
      </c>
      <c r="AB106" s="653">
        <f t="shared" si="44"/>
        <v>22626656.584206548</v>
      </c>
      <c r="AC106" s="653">
        <f t="shared" si="44"/>
        <v>52071958.517878368</v>
      </c>
      <c r="AD106" s="653">
        <f t="shared" si="44"/>
        <v>59581437.830830723</v>
      </c>
      <c r="AE106" s="653">
        <f t="shared" si="44"/>
        <v>60558163.551906668</v>
      </c>
      <c r="AF106" s="653">
        <f t="shared" si="44"/>
        <v>60955502.309495524</v>
      </c>
      <c r="AG106" s="653">
        <f t="shared" si="44"/>
        <v>61094987.597299352</v>
      </c>
      <c r="AH106" s="653">
        <f t="shared" si="44"/>
        <v>61123025.885103181</v>
      </c>
      <c r="AI106" s="653">
        <f t="shared" si="44"/>
        <v>61123025.885103181</v>
      </c>
      <c r="AJ106" s="653">
        <f t="shared" si="44"/>
        <v>61123025.885103181</v>
      </c>
      <c r="AK106" s="653">
        <f t="shared" si="44"/>
        <v>61123025.885103181</v>
      </c>
      <c r="AL106" s="653">
        <f t="shared" si="44"/>
        <v>61123025.885103181</v>
      </c>
      <c r="AM106" s="653">
        <f t="shared" si="44"/>
        <v>61123025.885103181</v>
      </c>
      <c r="AN106" s="653">
        <f t="shared" si="44"/>
        <v>61123025.885103181</v>
      </c>
      <c r="AO106" s="653">
        <f t="shared" si="44"/>
        <v>61123025.885103181</v>
      </c>
      <c r="AP106" s="653">
        <f t="shared" si="44"/>
        <v>61123025.885103181</v>
      </c>
      <c r="AQ106" s="653">
        <f t="shared" si="44"/>
        <v>61123025.885103181</v>
      </c>
      <c r="AR106" s="653">
        <f t="shared" si="44"/>
        <v>61123025.885103181</v>
      </c>
      <c r="AS106" s="653">
        <f t="shared" si="44"/>
        <v>61123025.885103181</v>
      </c>
      <c r="AT106" s="653">
        <f t="shared" si="44"/>
        <v>1050365017.0128551</v>
      </c>
    </row>
    <row r="107" spans="2:48" ht="12.75" x14ac:dyDescent="0.2">
      <c r="B107" s="307" t="s">
        <v>17</v>
      </c>
      <c r="C107" s="653">
        <f>SUM(C178:C184)</f>
        <v>0</v>
      </c>
      <c r="D107" s="653">
        <f t="shared" ref="D107:AN107" si="45">SUM(D178:D184)</f>
        <v>0</v>
      </c>
      <c r="E107" s="653">
        <f t="shared" si="45"/>
        <v>0</v>
      </c>
      <c r="F107" s="653">
        <f t="shared" si="45"/>
        <v>0</v>
      </c>
      <c r="G107" s="653">
        <f t="shared" si="45"/>
        <v>0</v>
      </c>
      <c r="H107" s="653">
        <f t="shared" si="45"/>
        <v>0</v>
      </c>
      <c r="I107" s="653">
        <f t="shared" si="45"/>
        <v>0</v>
      </c>
      <c r="J107" s="653">
        <f t="shared" si="45"/>
        <v>0</v>
      </c>
      <c r="K107" s="653">
        <f t="shared" si="45"/>
        <v>0</v>
      </c>
      <c r="L107" s="653">
        <f t="shared" si="45"/>
        <v>0</v>
      </c>
      <c r="M107" s="653">
        <f t="shared" si="45"/>
        <v>0</v>
      </c>
      <c r="N107" s="653">
        <f t="shared" si="45"/>
        <v>0</v>
      </c>
      <c r="O107" s="653">
        <f t="shared" si="45"/>
        <v>0</v>
      </c>
      <c r="P107" s="653">
        <f t="shared" si="45"/>
        <v>0</v>
      </c>
      <c r="Q107" s="653">
        <f t="shared" si="45"/>
        <v>0</v>
      </c>
      <c r="R107" s="653">
        <f t="shared" si="45"/>
        <v>0</v>
      </c>
      <c r="S107" s="653">
        <f t="shared" si="45"/>
        <v>0</v>
      </c>
      <c r="T107" s="653">
        <f t="shared" si="45"/>
        <v>0</v>
      </c>
      <c r="U107" s="653">
        <f t="shared" si="45"/>
        <v>0</v>
      </c>
      <c r="V107" s="653">
        <f t="shared" si="45"/>
        <v>0</v>
      </c>
      <c r="W107" s="653">
        <f t="shared" si="45"/>
        <v>0</v>
      </c>
      <c r="X107" s="653">
        <f t="shared" si="45"/>
        <v>0</v>
      </c>
      <c r="Y107" s="653">
        <f t="shared" si="45"/>
        <v>0</v>
      </c>
      <c r="Z107" s="653">
        <f t="shared" si="45"/>
        <v>0</v>
      </c>
      <c r="AA107" s="653">
        <f t="shared" si="45"/>
        <v>0</v>
      </c>
      <c r="AB107" s="653">
        <f t="shared" si="45"/>
        <v>0</v>
      </c>
      <c r="AC107" s="653">
        <f t="shared" si="45"/>
        <v>0</v>
      </c>
      <c r="AD107" s="653">
        <f t="shared" si="45"/>
        <v>0</v>
      </c>
      <c r="AE107" s="653">
        <f t="shared" si="45"/>
        <v>0</v>
      </c>
      <c r="AF107" s="653">
        <f t="shared" si="45"/>
        <v>0</v>
      </c>
      <c r="AG107" s="653">
        <f t="shared" si="45"/>
        <v>0</v>
      </c>
      <c r="AH107" s="653">
        <f t="shared" si="45"/>
        <v>40854.685524400033</v>
      </c>
      <c r="AI107" s="653">
        <f t="shared" si="45"/>
        <v>168733.26525634518</v>
      </c>
      <c r="AJ107" s="653">
        <f t="shared" si="45"/>
        <v>373628.46004257223</v>
      </c>
      <c r="AK107" s="653">
        <f t="shared" si="45"/>
        <v>701396.78013918258</v>
      </c>
      <c r="AL107" s="653">
        <f t="shared" si="45"/>
        <v>1047741.648856338</v>
      </c>
      <c r="AM107" s="653">
        <f t="shared" si="45"/>
        <v>1434643.1159936204</v>
      </c>
      <c r="AN107" s="653">
        <f t="shared" si="45"/>
        <v>2184467.1679669139</v>
      </c>
      <c r="AO107" s="653">
        <f>SUM(AO178:AO189)</f>
        <v>3397341.0220021526</v>
      </c>
      <c r="AP107" s="653">
        <f t="shared" ref="AP107:AS107" si="46">SUM(AP178:AP189)</f>
        <v>4356490.0703621535</v>
      </c>
      <c r="AQ107" s="653">
        <f t="shared" si="46"/>
        <v>4842053.2882665265</v>
      </c>
      <c r="AR107" s="653">
        <f t="shared" si="46"/>
        <v>5143970.877810901</v>
      </c>
      <c r="AS107" s="653">
        <f t="shared" si="46"/>
        <v>5555492.377810901</v>
      </c>
      <c r="AT107" s="653">
        <f>SUM(AT178:AT189)</f>
        <v>29246812.760032006</v>
      </c>
    </row>
    <row r="108" spans="2:48" ht="12.75" x14ac:dyDescent="0.2">
      <c r="B108" s="307" t="s">
        <v>91</v>
      </c>
      <c r="C108" s="653">
        <f>SUM(C142:C148)</f>
        <v>0</v>
      </c>
      <c r="D108" s="653">
        <f t="shared" ref="D108:AT108" si="47">SUM(D142:D148)</f>
        <v>0</v>
      </c>
      <c r="E108" s="653">
        <f t="shared" si="47"/>
        <v>0</v>
      </c>
      <c r="F108" s="653">
        <f t="shared" si="47"/>
        <v>0</v>
      </c>
      <c r="G108" s="653">
        <f t="shared" si="47"/>
        <v>0</v>
      </c>
      <c r="H108" s="653">
        <f t="shared" si="47"/>
        <v>0</v>
      </c>
      <c r="I108" s="653">
        <f t="shared" si="47"/>
        <v>0</v>
      </c>
      <c r="J108" s="653">
        <f t="shared" si="47"/>
        <v>0</v>
      </c>
      <c r="K108" s="653">
        <f t="shared" si="47"/>
        <v>0</v>
      </c>
      <c r="L108" s="653">
        <f t="shared" si="47"/>
        <v>0</v>
      </c>
      <c r="M108" s="653">
        <f t="shared" si="47"/>
        <v>0</v>
      </c>
      <c r="N108" s="653">
        <f t="shared" si="47"/>
        <v>0</v>
      </c>
      <c r="O108" s="653">
        <f t="shared" si="47"/>
        <v>0</v>
      </c>
      <c r="P108" s="653">
        <f t="shared" si="47"/>
        <v>0</v>
      </c>
      <c r="Q108" s="653">
        <f t="shared" si="47"/>
        <v>0</v>
      </c>
      <c r="R108" s="653">
        <f t="shared" si="47"/>
        <v>0</v>
      </c>
      <c r="S108" s="653">
        <f t="shared" si="47"/>
        <v>0</v>
      </c>
      <c r="T108" s="653">
        <f t="shared" si="47"/>
        <v>0</v>
      </c>
      <c r="U108" s="653">
        <f t="shared" si="47"/>
        <v>0</v>
      </c>
      <c r="V108" s="653">
        <f t="shared" si="47"/>
        <v>0</v>
      </c>
      <c r="W108" s="653">
        <f t="shared" si="47"/>
        <v>0</v>
      </c>
      <c r="X108" s="653">
        <f t="shared" si="47"/>
        <v>0</v>
      </c>
      <c r="Y108" s="653">
        <f t="shared" si="47"/>
        <v>0</v>
      </c>
      <c r="Z108" s="653">
        <f t="shared" si="47"/>
        <v>0</v>
      </c>
      <c r="AA108" s="653">
        <f t="shared" si="47"/>
        <v>0</v>
      </c>
      <c r="AB108" s="653">
        <f t="shared" si="47"/>
        <v>599035.86475099926</v>
      </c>
      <c r="AC108" s="653">
        <f t="shared" si="47"/>
        <v>2096842.9296748408</v>
      </c>
      <c r="AD108" s="653">
        <f t="shared" si="47"/>
        <v>5832962.0827481914</v>
      </c>
      <c r="AE108" s="653">
        <f t="shared" si="47"/>
        <v>10613426.596089447</v>
      </c>
      <c r="AF108" s="653">
        <f t="shared" si="47"/>
        <v>13812651.656530194</v>
      </c>
      <c r="AG108" s="653">
        <f t="shared" si="47"/>
        <v>15651816.156530194</v>
      </c>
      <c r="AH108" s="653">
        <f t="shared" si="47"/>
        <v>16593011.156530194</v>
      </c>
      <c r="AI108" s="653">
        <f t="shared" si="47"/>
        <v>16951150.156530194</v>
      </c>
      <c r="AJ108" s="653">
        <f t="shared" si="47"/>
        <v>16951150.156530194</v>
      </c>
      <c r="AK108" s="653">
        <f t="shared" si="47"/>
        <v>16951150.156530194</v>
      </c>
      <c r="AL108" s="653">
        <f t="shared" si="47"/>
        <v>16951150.156530194</v>
      </c>
      <c r="AM108" s="653">
        <f t="shared" si="47"/>
        <v>16951150.156530194</v>
      </c>
      <c r="AN108" s="653">
        <f t="shared" si="47"/>
        <v>16951150.156530194</v>
      </c>
      <c r="AO108" s="653">
        <f t="shared" si="47"/>
        <v>16951150.156530194</v>
      </c>
      <c r="AP108" s="653">
        <f t="shared" si="47"/>
        <v>16951150.156530194</v>
      </c>
      <c r="AQ108" s="653">
        <f t="shared" si="47"/>
        <v>16951150.156530194</v>
      </c>
      <c r="AR108" s="653">
        <f t="shared" si="47"/>
        <v>16951150.156530194</v>
      </c>
      <c r="AS108" s="653">
        <f t="shared" si="47"/>
        <v>16951150.156530194</v>
      </c>
      <c r="AT108" s="653">
        <f t="shared" si="47"/>
        <v>251662398.16468617</v>
      </c>
    </row>
    <row r="109" spans="2:48" ht="12.75" x14ac:dyDescent="0.2">
      <c r="B109" s="307" t="s">
        <v>64</v>
      </c>
      <c r="C109" s="653"/>
      <c r="D109" s="653"/>
      <c r="E109" s="653"/>
      <c r="F109" s="653"/>
      <c r="G109" s="653"/>
      <c r="H109" s="653"/>
      <c r="I109" s="653"/>
      <c r="J109" s="653"/>
      <c r="K109" s="653"/>
      <c r="L109" s="653"/>
      <c r="M109" s="653"/>
      <c r="N109" s="653"/>
      <c r="O109" s="653"/>
      <c r="P109" s="653"/>
      <c r="Q109" s="653"/>
      <c r="R109" s="653"/>
      <c r="S109" s="653"/>
      <c r="T109" s="653"/>
      <c r="U109" s="653"/>
      <c r="V109" s="653"/>
      <c r="W109" s="653"/>
      <c r="X109" s="653"/>
      <c r="Y109" s="653"/>
      <c r="Z109" s="653"/>
      <c r="AA109" s="653"/>
      <c r="AB109" s="653"/>
      <c r="AC109" s="653"/>
      <c r="AD109" s="653"/>
      <c r="AE109" s="653"/>
      <c r="AF109" s="653"/>
      <c r="AG109" s="653"/>
      <c r="AH109" s="653"/>
      <c r="AI109" s="653"/>
      <c r="AJ109" s="653"/>
      <c r="AK109" s="653"/>
      <c r="AL109" s="653"/>
      <c r="AM109" s="653"/>
      <c r="AN109" s="653"/>
      <c r="AO109" s="653"/>
      <c r="AP109" s="653"/>
      <c r="AQ109" s="653"/>
      <c r="AR109" s="653"/>
      <c r="AS109" s="653"/>
      <c r="AT109" s="653"/>
    </row>
    <row r="110" spans="2:48" ht="12.75" x14ac:dyDescent="0.2">
      <c r="B110" s="307" t="s">
        <v>112</v>
      </c>
      <c r="C110" s="653"/>
      <c r="D110" s="653"/>
      <c r="E110" s="653"/>
      <c r="F110" s="653"/>
      <c r="G110" s="653"/>
      <c r="H110" s="653"/>
      <c r="I110" s="653"/>
      <c r="J110" s="653"/>
      <c r="K110" s="653"/>
      <c r="L110" s="653"/>
      <c r="M110" s="653"/>
      <c r="N110" s="653"/>
      <c r="O110" s="653"/>
      <c r="P110" s="653"/>
      <c r="Q110" s="653"/>
      <c r="R110" s="653"/>
      <c r="S110" s="653"/>
      <c r="T110" s="653"/>
      <c r="U110" s="653"/>
      <c r="V110" s="653"/>
      <c r="W110" s="653"/>
      <c r="X110" s="653"/>
      <c r="Y110" s="653"/>
      <c r="Z110" s="653"/>
      <c r="AA110" s="653"/>
      <c r="AB110" s="653"/>
      <c r="AC110" s="653"/>
      <c r="AD110" s="653"/>
      <c r="AE110" s="653"/>
      <c r="AF110" s="653"/>
      <c r="AG110" s="653"/>
      <c r="AH110" s="653"/>
      <c r="AI110" s="653"/>
      <c r="AJ110" s="653"/>
      <c r="AK110" s="653"/>
      <c r="AL110" s="653"/>
      <c r="AM110" s="653"/>
      <c r="AN110" s="653"/>
      <c r="AO110" s="653"/>
      <c r="AP110" s="653"/>
      <c r="AQ110" s="653"/>
      <c r="AR110" s="653"/>
      <c r="AS110" s="653"/>
      <c r="AT110" s="653"/>
    </row>
    <row r="111" spans="2:48" ht="12.75" x14ac:dyDescent="0.2">
      <c r="B111" s="307" t="s">
        <v>66</v>
      </c>
      <c r="C111" s="653"/>
      <c r="D111" s="653"/>
      <c r="E111" s="653"/>
      <c r="F111" s="653"/>
      <c r="G111" s="653"/>
      <c r="H111" s="653"/>
      <c r="I111" s="653"/>
      <c r="J111" s="653"/>
      <c r="K111" s="653"/>
      <c r="L111" s="653"/>
      <c r="M111" s="653"/>
      <c r="N111" s="653"/>
      <c r="O111" s="653"/>
      <c r="P111" s="653"/>
      <c r="Q111" s="653"/>
      <c r="R111" s="653"/>
      <c r="S111" s="653"/>
      <c r="T111" s="653"/>
      <c r="U111" s="653"/>
      <c r="V111" s="653"/>
      <c r="W111" s="653"/>
      <c r="X111" s="653"/>
      <c r="Y111" s="653"/>
      <c r="Z111" s="653"/>
      <c r="AA111" s="653"/>
      <c r="AB111" s="653"/>
      <c r="AC111" s="653"/>
      <c r="AD111" s="653"/>
      <c r="AE111" s="653"/>
      <c r="AF111" s="653"/>
      <c r="AG111" s="653"/>
      <c r="AH111" s="653"/>
      <c r="AI111" s="653"/>
      <c r="AJ111" s="653"/>
      <c r="AK111" s="653"/>
      <c r="AL111" s="653"/>
      <c r="AM111" s="653"/>
      <c r="AN111" s="653"/>
      <c r="AO111" s="653"/>
      <c r="AP111" s="653"/>
      <c r="AQ111" s="653"/>
      <c r="AR111" s="653"/>
      <c r="AS111" s="653"/>
      <c r="AT111" s="653"/>
      <c r="AU111" s="653">
        <f>+AT96-AT116</f>
        <v>52708797132.296463</v>
      </c>
    </row>
    <row r="112" spans="2:48" ht="12.75" x14ac:dyDescent="0.2">
      <c r="B112" s="307" t="s">
        <v>67</v>
      </c>
      <c r="C112" s="653"/>
      <c r="D112" s="653"/>
      <c r="E112" s="653"/>
      <c r="F112" s="653"/>
      <c r="G112" s="653"/>
      <c r="H112" s="653"/>
      <c r="I112" s="653"/>
      <c r="J112" s="653"/>
      <c r="K112" s="653"/>
      <c r="L112" s="653"/>
      <c r="M112" s="653"/>
      <c r="N112" s="653"/>
      <c r="O112" s="653"/>
      <c r="P112" s="653"/>
      <c r="Q112" s="653"/>
      <c r="R112" s="653"/>
      <c r="S112" s="653"/>
      <c r="T112" s="653"/>
      <c r="U112" s="653"/>
      <c r="V112" s="653"/>
      <c r="W112" s="653"/>
      <c r="X112" s="653"/>
      <c r="Y112" s="653"/>
      <c r="Z112" s="653"/>
      <c r="AA112" s="653"/>
      <c r="AB112" s="653"/>
      <c r="AC112" s="653"/>
      <c r="AD112" s="653"/>
      <c r="AE112" s="653"/>
      <c r="AF112" s="653"/>
      <c r="AG112" s="653"/>
      <c r="AH112" s="653"/>
      <c r="AI112" s="653"/>
      <c r="AJ112" s="653"/>
      <c r="AK112" s="653"/>
      <c r="AL112" s="653"/>
      <c r="AM112" s="653"/>
      <c r="AN112" s="653"/>
      <c r="AO112" s="653"/>
      <c r="AP112" s="653"/>
      <c r="AQ112" s="653"/>
      <c r="AR112" s="653"/>
      <c r="AS112" s="653"/>
      <c r="AT112" s="653"/>
      <c r="AU112" s="310"/>
      <c r="AV112" s="310"/>
    </row>
    <row r="113" spans="1:49" s="310" customFormat="1" ht="12.75" x14ac:dyDescent="0.2">
      <c r="B113" s="307" t="s">
        <v>68</v>
      </c>
      <c r="C113" s="653"/>
      <c r="D113" s="653"/>
      <c r="E113" s="653"/>
      <c r="F113" s="653"/>
      <c r="G113" s="653"/>
      <c r="H113" s="653"/>
      <c r="I113" s="653"/>
      <c r="J113" s="653"/>
      <c r="K113" s="653"/>
      <c r="L113" s="653"/>
      <c r="M113" s="653"/>
      <c r="N113" s="653"/>
      <c r="O113" s="653"/>
      <c r="P113" s="653"/>
      <c r="Q113" s="653"/>
      <c r="R113" s="653"/>
      <c r="S113" s="653"/>
      <c r="T113" s="653"/>
      <c r="U113" s="653"/>
      <c r="V113" s="653"/>
      <c r="W113" s="653"/>
      <c r="X113" s="653"/>
      <c r="Y113" s="653"/>
      <c r="Z113" s="653"/>
      <c r="AA113" s="653"/>
      <c r="AB113" s="653"/>
      <c r="AC113" s="653"/>
      <c r="AD113" s="653"/>
      <c r="AE113" s="653"/>
      <c r="AF113" s="653"/>
      <c r="AG113" s="653"/>
      <c r="AH113" s="653"/>
      <c r="AI113" s="653"/>
      <c r="AJ113" s="653"/>
      <c r="AK113" s="653"/>
      <c r="AL113" s="653"/>
      <c r="AM113" s="653"/>
      <c r="AN113" s="653"/>
      <c r="AO113" s="653"/>
      <c r="AP113" s="653"/>
      <c r="AQ113" s="653"/>
      <c r="AR113" s="653"/>
      <c r="AS113" s="653"/>
      <c r="AT113" s="653"/>
    </row>
    <row r="114" spans="1:49" s="655" customFormat="1" ht="12.75" x14ac:dyDescent="0.2">
      <c r="A114" s="654"/>
      <c r="B114" s="307" t="s">
        <v>69</v>
      </c>
      <c r="C114" s="653"/>
      <c r="D114" s="653"/>
      <c r="E114" s="653"/>
      <c r="F114" s="653"/>
      <c r="G114" s="653"/>
      <c r="H114" s="653"/>
      <c r="I114" s="653"/>
      <c r="J114" s="653"/>
      <c r="K114" s="653"/>
      <c r="L114" s="653"/>
      <c r="M114" s="653"/>
      <c r="N114" s="653"/>
      <c r="O114" s="653"/>
      <c r="P114" s="653"/>
      <c r="Q114" s="653"/>
      <c r="R114" s="653"/>
      <c r="S114" s="653"/>
      <c r="T114" s="653"/>
      <c r="U114" s="653"/>
      <c r="V114" s="653"/>
      <c r="W114" s="653"/>
      <c r="X114" s="653"/>
      <c r="Y114" s="653"/>
      <c r="Z114" s="653"/>
      <c r="AA114" s="653"/>
      <c r="AB114" s="653"/>
      <c r="AC114" s="653"/>
      <c r="AD114" s="653"/>
      <c r="AE114" s="653"/>
      <c r="AF114" s="653"/>
      <c r="AG114" s="653"/>
      <c r="AH114" s="653"/>
      <c r="AI114" s="653"/>
      <c r="AJ114" s="653"/>
      <c r="AK114" s="653"/>
      <c r="AL114" s="653"/>
      <c r="AM114" s="653"/>
      <c r="AN114" s="653"/>
      <c r="AO114" s="653"/>
      <c r="AP114" s="653"/>
      <c r="AQ114" s="653"/>
      <c r="AR114" s="653"/>
      <c r="AS114" s="653"/>
      <c r="AT114" s="653"/>
      <c r="AU114" s="310"/>
      <c r="AV114" s="310"/>
      <c r="AW114" s="396"/>
    </row>
    <row r="115" spans="1:49" s="655" customFormat="1" ht="12.75" x14ac:dyDescent="0.2">
      <c r="A115" s="654"/>
      <c r="B115" s="307" t="s">
        <v>70</v>
      </c>
      <c r="C115" s="653"/>
      <c r="D115" s="653"/>
      <c r="E115" s="653"/>
      <c r="F115" s="653"/>
      <c r="G115" s="653"/>
      <c r="H115" s="653"/>
      <c r="I115" s="653"/>
      <c r="J115" s="653"/>
      <c r="K115" s="653"/>
      <c r="L115" s="653"/>
      <c r="M115" s="653"/>
      <c r="N115" s="653"/>
      <c r="O115" s="653"/>
      <c r="P115" s="653"/>
      <c r="Q115" s="653"/>
      <c r="R115" s="653"/>
      <c r="S115" s="653"/>
      <c r="T115" s="653"/>
      <c r="U115" s="653"/>
      <c r="V115" s="653"/>
      <c r="W115" s="653"/>
      <c r="X115" s="653"/>
      <c r="Y115" s="653"/>
      <c r="Z115" s="653"/>
      <c r="AA115" s="653"/>
      <c r="AB115" s="653"/>
      <c r="AC115" s="653"/>
      <c r="AD115" s="653"/>
      <c r="AE115" s="653"/>
      <c r="AF115" s="653"/>
      <c r="AG115" s="653"/>
      <c r="AH115" s="653"/>
      <c r="AI115" s="653"/>
      <c r="AJ115" s="653"/>
      <c r="AK115" s="653"/>
      <c r="AL115" s="653"/>
      <c r="AM115" s="653"/>
      <c r="AN115" s="653"/>
      <c r="AO115" s="653"/>
      <c r="AP115" s="653"/>
      <c r="AQ115" s="653"/>
      <c r="AR115" s="653"/>
      <c r="AS115" s="653"/>
      <c r="AT115" s="653"/>
      <c r="AU115" s="310"/>
      <c r="AV115" s="310"/>
      <c r="AW115" s="396"/>
    </row>
    <row r="116" spans="1:49" s="655" customFormat="1" ht="12.75" x14ac:dyDescent="0.2">
      <c r="A116" s="654"/>
      <c r="B116" s="307"/>
      <c r="C116" s="653">
        <f>SUM(C99:C115)</f>
        <v>0</v>
      </c>
      <c r="D116" s="653">
        <f t="shared" ref="D116:AT116" si="48">SUM(D99:D115)</f>
        <v>0</v>
      </c>
      <c r="E116" s="653">
        <f t="shared" si="48"/>
        <v>0</v>
      </c>
      <c r="F116" s="653">
        <f t="shared" si="48"/>
        <v>0</v>
      </c>
      <c r="G116" s="653">
        <f t="shared" si="48"/>
        <v>0</v>
      </c>
      <c r="H116" s="653">
        <f t="shared" si="48"/>
        <v>0</v>
      </c>
      <c r="I116" s="653">
        <f t="shared" si="48"/>
        <v>0</v>
      </c>
      <c r="J116" s="653">
        <f t="shared" si="48"/>
        <v>0</v>
      </c>
      <c r="K116" s="653">
        <f t="shared" si="48"/>
        <v>0</v>
      </c>
      <c r="L116" s="653">
        <f t="shared" si="48"/>
        <v>0</v>
      </c>
      <c r="M116" s="653">
        <f t="shared" si="48"/>
        <v>0</v>
      </c>
      <c r="N116" s="653">
        <f t="shared" si="48"/>
        <v>0</v>
      </c>
      <c r="O116" s="653">
        <f t="shared" si="48"/>
        <v>0</v>
      </c>
      <c r="P116" s="653">
        <f t="shared" si="48"/>
        <v>0</v>
      </c>
      <c r="Q116" s="653">
        <f t="shared" si="48"/>
        <v>0</v>
      </c>
      <c r="R116" s="653">
        <f t="shared" si="48"/>
        <v>0</v>
      </c>
      <c r="S116" s="653">
        <f t="shared" si="48"/>
        <v>0</v>
      </c>
      <c r="T116" s="653">
        <f t="shared" si="48"/>
        <v>0</v>
      </c>
      <c r="U116" s="653">
        <f t="shared" si="48"/>
        <v>0</v>
      </c>
      <c r="V116" s="653">
        <f t="shared" si="48"/>
        <v>0</v>
      </c>
      <c r="W116" s="653">
        <f t="shared" si="48"/>
        <v>2695103.7053040941</v>
      </c>
      <c r="X116" s="653">
        <f t="shared" si="48"/>
        <v>13075688.668035001</v>
      </c>
      <c r="Y116" s="653">
        <f t="shared" si="48"/>
        <v>28259821.756508589</v>
      </c>
      <c r="Z116" s="653">
        <f t="shared" si="48"/>
        <v>52967833.531381659</v>
      </c>
      <c r="AA116" s="653">
        <f t="shared" si="48"/>
        <v>93038239.913362861</v>
      </c>
      <c r="AB116" s="653">
        <f t="shared" si="48"/>
        <v>166639652.02074111</v>
      </c>
      <c r="AC116" s="653">
        <f t="shared" si="48"/>
        <v>255759040.59155235</v>
      </c>
      <c r="AD116" s="653">
        <f t="shared" si="48"/>
        <v>342422311.08955383</v>
      </c>
      <c r="AE116" s="653">
        <f t="shared" si="48"/>
        <v>438183415.65906876</v>
      </c>
      <c r="AF116" s="653">
        <f t="shared" si="48"/>
        <v>540312269.64669979</v>
      </c>
      <c r="AG116" s="653">
        <f t="shared" si="48"/>
        <v>670643165.72034132</v>
      </c>
      <c r="AH116" s="653">
        <f t="shared" si="48"/>
        <v>839978536.34144962</v>
      </c>
      <c r="AI116" s="653">
        <f t="shared" si="48"/>
        <v>1003140272.2128526</v>
      </c>
      <c r="AJ116" s="653">
        <f t="shared" si="48"/>
        <v>1152337852.9302704</v>
      </c>
      <c r="AK116" s="653">
        <f t="shared" si="48"/>
        <v>1295550687.8577993</v>
      </c>
      <c r="AL116" s="653">
        <f t="shared" si="48"/>
        <v>1418650507.7265165</v>
      </c>
      <c r="AM116" s="653">
        <f t="shared" si="48"/>
        <v>1549981101.6373057</v>
      </c>
      <c r="AN116" s="653">
        <f t="shared" si="48"/>
        <v>1694071544.1310787</v>
      </c>
      <c r="AO116" s="653">
        <f t="shared" si="48"/>
        <v>1825733203.515656</v>
      </c>
      <c r="AP116" s="653">
        <f t="shared" si="48"/>
        <v>1947156422.3517449</v>
      </c>
      <c r="AQ116" s="653">
        <f t="shared" si="48"/>
        <v>2086428509.0642805</v>
      </c>
      <c r="AR116" s="653">
        <f t="shared" si="48"/>
        <v>2207208794.6362872</v>
      </c>
      <c r="AS116" s="653">
        <f t="shared" si="48"/>
        <v>2292115353.5352607</v>
      </c>
      <c r="AT116" s="653">
        <f t="shared" si="48"/>
        <v>21916349328.243053</v>
      </c>
      <c r="AU116" s="310"/>
      <c r="AV116" s="310"/>
      <c r="AW116" s="396"/>
    </row>
    <row r="117" spans="1:49" s="655" customFormat="1" ht="13.5" thickBot="1" x14ac:dyDescent="0.25">
      <c r="A117" s="654"/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656"/>
      <c r="AC117" s="359"/>
      <c r="AD117" s="359"/>
      <c r="AE117" s="359"/>
      <c r="AF117" s="359"/>
      <c r="AG117" s="359"/>
      <c r="AH117" s="359"/>
      <c r="AI117" s="657"/>
      <c r="AJ117" s="657"/>
      <c r="AK117" s="657"/>
      <c r="AL117" s="657"/>
      <c r="AM117" s="657"/>
      <c r="AN117" s="657"/>
      <c r="AO117" s="657"/>
      <c r="AP117" s="657"/>
      <c r="AQ117" s="657"/>
      <c r="AR117" s="657"/>
      <c r="AS117" s="657"/>
      <c r="AT117" s="38"/>
      <c r="AU117" s="310"/>
      <c r="AV117" s="310"/>
      <c r="AW117" s="396"/>
    </row>
    <row r="118" spans="1:49" s="655" customFormat="1" ht="12.75" thickTop="1" thickBot="1" x14ac:dyDescent="0.25">
      <c r="A118" s="654"/>
      <c r="B118" s="658" t="s">
        <v>280</v>
      </c>
      <c r="C118" s="659">
        <v>1981</v>
      </c>
      <c r="D118" s="659">
        <v>1982</v>
      </c>
      <c r="E118" s="659">
        <v>1983</v>
      </c>
      <c r="F118" s="659">
        <v>1984</v>
      </c>
      <c r="G118" s="659">
        <v>1985</v>
      </c>
      <c r="H118" s="659">
        <v>1986</v>
      </c>
      <c r="I118" s="659">
        <v>1987</v>
      </c>
      <c r="J118" s="659">
        <v>1988</v>
      </c>
      <c r="K118" s="659">
        <v>1989</v>
      </c>
      <c r="L118" s="659">
        <v>1990</v>
      </c>
      <c r="M118" s="659">
        <v>1991</v>
      </c>
      <c r="N118" s="659">
        <v>1992</v>
      </c>
      <c r="O118" s="659">
        <v>1993</v>
      </c>
      <c r="P118" s="659">
        <v>1994</v>
      </c>
      <c r="Q118" s="659">
        <v>1995</v>
      </c>
      <c r="R118" s="659">
        <v>1996</v>
      </c>
      <c r="S118" s="659">
        <v>1997</v>
      </c>
      <c r="T118" s="659">
        <v>1998</v>
      </c>
      <c r="U118" s="659">
        <v>1999</v>
      </c>
      <c r="V118" s="659">
        <v>2000</v>
      </c>
      <c r="W118" s="659">
        <v>2001</v>
      </c>
      <c r="X118" s="659">
        <v>2002</v>
      </c>
      <c r="Y118" s="659">
        <v>2003</v>
      </c>
      <c r="Z118" s="659">
        <v>2004</v>
      </c>
      <c r="AA118" s="659">
        <v>2005</v>
      </c>
      <c r="AB118" s="659">
        <v>2006</v>
      </c>
      <c r="AC118" s="659">
        <v>2007</v>
      </c>
      <c r="AD118" s="659">
        <v>2008</v>
      </c>
      <c r="AE118" s="659">
        <v>2009</v>
      </c>
      <c r="AF118" s="659">
        <v>2010</v>
      </c>
      <c r="AG118" s="659">
        <v>2011</v>
      </c>
      <c r="AH118" s="659">
        <v>2012</v>
      </c>
      <c r="AI118" s="660">
        <v>2013</v>
      </c>
      <c r="AJ118" s="660">
        <v>2014</v>
      </c>
      <c r="AK118" s="660">
        <v>2015</v>
      </c>
      <c r="AL118" s="660">
        <v>2016</v>
      </c>
      <c r="AM118" s="660">
        <v>2017</v>
      </c>
      <c r="AN118" s="661">
        <v>2018</v>
      </c>
      <c r="AO118" s="660">
        <v>2019</v>
      </c>
      <c r="AP118" s="661">
        <v>2020</v>
      </c>
      <c r="AQ118" s="660">
        <v>2021</v>
      </c>
      <c r="AR118" s="661">
        <v>2022</v>
      </c>
      <c r="AS118" s="660">
        <v>2023</v>
      </c>
      <c r="AT118" s="80" t="s">
        <v>281</v>
      </c>
      <c r="AU118" s="310"/>
      <c r="AV118" s="310"/>
      <c r="AW118" s="396"/>
    </row>
    <row r="119" spans="1:49" s="669" customFormat="1" ht="12" thickTop="1" x14ac:dyDescent="0.2">
      <c r="A119" s="662"/>
      <c r="B119" s="663" t="s">
        <v>282</v>
      </c>
      <c r="C119" s="664"/>
      <c r="D119" s="664"/>
      <c r="E119" s="664"/>
      <c r="F119" s="664"/>
      <c r="G119" s="664"/>
      <c r="H119" s="664"/>
      <c r="I119" s="664"/>
      <c r="J119" s="664"/>
      <c r="K119" s="664"/>
      <c r="L119" s="664"/>
      <c r="M119" s="664"/>
      <c r="N119" s="664"/>
      <c r="O119" s="664"/>
      <c r="P119" s="664"/>
      <c r="Q119" s="664"/>
      <c r="R119" s="664"/>
      <c r="S119" s="664"/>
      <c r="T119" s="664"/>
      <c r="U119" s="664"/>
      <c r="V119" s="664"/>
      <c r="W119" s="665">
        <f>+M11/2</f>
        <v>2561556.1196932052</v>
      </c>
      <c r="X119" s="665">
        <f>+M11</f>
        <v>5123112.2393864105</v>
      </c>
      <c r="Y119" s="665">
        <f t="shared" ref="Y119:AN131" si="49">+X119</f>
        <v>5123112.2393864105</v>
      </c>
      <c r="Z119" s="665">
        <f t="shared" si="49"/>
        <v>5123112.2393864105</v>
      </c>
      <c r="AA119" s="665">
        <f t="shared" si="49"/>
        <v>5123112.2393864105</v>
      </c>
      <c r="AB119" s="665">
        <f t="shared" si="49"/>
        <v>5123112.2393864105</v>
      </c>
      <c r="AC119" s="665">
        <f t="shared" si="49"/>
        <v>5123112.2393864105</v>
      </c>
      <c r="AD119" s="665">
        <f t="shared" si="49"/>
        <v>5123112.2393864105</v>
      </c>
      <c r="AE119" s="665">
        <f t="shared" si="49"/>
        <v>5123112.2393864105</v>
      </c>
      <c r="AF119" s="665">
        <f t="shared" si="49"/>
        <v>5123112.2393864105</v>
      </c>
      <c r="AG119" s="665">
        <f t="shared" si="49"/>
        <v>5123112.2393864105</v>
      </c>
      <c r="AH119" s="665">
        <f t="shared" si="49"/>
        <v>5123112.2393864105</v>
      </c>
      <c r="AI119" s="618">
        <f t="shared" si="49"/>
        <v>5123112.2393864105</v>
      </c>
      <c r="AJ119" s="618">
        <f t="shared" si="49"/>
        <v>5123112.2393864105</v>
      </c>
      <c r="AK119" s="618">
        <f t="shared" si="49"/>
        <v>5123112.2393864105</v>
      </c>
      <c r="AL119" s="618">
        <f t="shared" si="49"/>
        <v>5123112.2393864105</v>
      </c>
      <c r="AM119" s="666">
        <f t="shared" si="49"/>
        <v>5123112.2393864105</v>
      </c>
      <c r="AN119" s="619">
        <f t="shared" si="49"/>
        <v>5123112.2393864105</v>
      </c>
      <c r="AO119" s="619">
        <f t="shared" ref="AO119:AO133" si="50">+AN119</f>
        <v>5123112.2393864105</v>
      </c>
      <c r="AP119" s="619">
        <f t="shared" ref="AP119:AP133" si="51">+AO119</f>
        <v>5123112.2393864105</v>
      </c>
      <c r="AQ119" s="619">
        <f t="shared" ref="AQ119:AQ133" si="52">+AP119</f>
        <v>5123112.2393864105</v>
      </c>
      <c r="AR119" s="619">
        <f t="shared" ref="AR119:AR133" si="53">+AQ119</f>
        <v>5123112.2393864105</v>
      </c>
      <c r="AS119" s="619">
        <f t="shared" ref="AS119:AS133" si="54">+AR119</f>
        <v>5123112.2393864105</v>
      </c>
      <c r="AT119" s="667">
        <f t="shared" ref="AT119:AT125" si="55">SUM(W119:AS119)</f>
        <v>115270025.38619423</v>
      </c>
      <c r="AU119" s="310"/>
      <c r="AV119" s="310"/>
      <c r="AW119" s="668"/>
    </row>
    <row r="120" spans="1:49" s="669" customFormat="1" x14ac:dyDescent="0.2">
      <c r="A120" s="662"/>
      <c r="B120" s="670" t="s">
        <v>283</v>
      </c>
      <c r="C120" s="671"/>
      <c r="D120" s="671"/>
      <c r="E120" s="671"/>
      <c r="F120" s="671"/>
      <c r="G120" s="671"/>
      <c r="H120" s="671"/>
      <c r="I120" s="671"/>
      <c r="J120" s="671"/>
      <c r="K120" s="671"/>
      <c r="L120" s="671"/>
      <c r="M120" s="671"/>
      <c r="N120" s="671"/>
      <c r="O120" s="671"/>
      <c r="P120" s="671"/>
      <c r="Q120" s="671"/>
      <c r="R120" s="671"/>
      <c r="S120" s="671"/>
      <c r="T120" s="671"/>
      <c r="U120" s="671"/>
      <c r="V120" s="671"/>
      <c r="W120" s="671"/>
      <c r="X120" s="672">
        <f>+N11/2</f>
        <v>2272145.4034784487</v>
      </c>
      <c r="Y120" s="672">
        <f>+N11</f>
        <v>4544290.8069568975</v>
      </c>
      <c r="Z120" s="672">
        <f t="shared" si="49"/>
        <v>4544290.8069568975</v>
      </c>
      <c r="AA120" s="672">
        <f t="shared" si="49"/>
        <v>4544290.8069568975</v>
      </c>
      <c r="AB120" s="672">
        <f t="shared" si="49"/>
        <v>4544290.8069568975</v>
      </c>
      <c r="AC120" s="88">
        <f t="shared" si="49"/>
        <v>4544290.8069568975</v>
      </c>
      <c r="AD120" s="672">
        <f t="shared" si="49"/>
        <v>4544290.8069568975</v>
      </c>
      <c r="AE120" s="672">
        <f t="shared" si="49"/>
        <v>4544290.8069568975</v>
      </c>
      <c r="AF120" s="672">
        <f t="shared" si="49"/>
        <v>4544290.8069568975</v>
      </c>
      <c r="AG120" s="672">
        <f t="shared" si="49"/>
        <v>4544290.8069568975</v>
      </c>
      <c r="AH120" s="672">
        <f t="shared" si="49"/>
        <v>4544290.8069568975</v>
      </c>
      <c r="AI120" s="624">
        <f>+AH120</f>
        <v>4544290.8069568975</v>
      </c>
      <c r="AJ120" s="624">
        <f t="shared" si="49"/>
        <v>4544290.8069568975</v>
      </c>
      <c r="AK120" s="624">
        <f t="shared" si="49"/>
        <v>4544290.8069568975</v>
      </c>
      <c r="AL120" s="624">
        <f t="shared" si="49"/>
        <v>4544290.8069568975</v>
      </c>
      <c r="AM120" s="673">
        <f t="shared" si="49"/>
        <v>4544290.8069568975</v>
      </c>
      <c r="AN120" s="625">
        <f t="shared" si="49"/>
        <v>4544290.8069568975</v>
      </c>
      <c r="AO120" s="625">
        <f t="shared" si="50"/>
        <v>4544290.8069568975</v>
      </c>
      <c r="AP120" s="625">
        <f t="shared" si="51"/>
        <v>4544290.8069568975</v>
      </c>
      <c r="AQ120" s="625">
        <f t="shared" si="52"/>
        <v>4544290.8069568975</v>
      </c>
      <c r="AR120" s="625">
        <f t="shared" si="53"/>
        <v>4544290.8069568975</v>
      </c>
      <c r="AS120" s="625">
        <f t="shared" si="54"/>
        <v>4544290.8069568975</v>
      </c>
      <c r="AT120" s="674">
        <f t="shared" si="55"/>
        <v>97702252.349573314</v>
      </c>
      <c r="AU120" s="310"/>
      <c r="AV120" s="310"/>
      <c r="AW120" s="668"/>
    </row>
    <row r="121" spans="1:49" s="669" customFormat="1" x14ac:dyDescent="0.2">
      <c r="A121" s="662"/>
      <c r="B121" s="670" t="s">
        <v>284</v>
      </c>
      <c r="C121" s="671"/>
      <c r="D121" s="671"/>
      <c r="E121" s="671"/>
      <c r="F121" s="671"/>
      <c r="G121" s="671"/>
      <c r="H121" s="671"/>
      <c r="I121" s="671"/>
      <c r="J121" s="671"/>
      <c r="K121" s="671"/>
      <c r="L121" s="671"/>
      <c r="M121" s="671"/>
      <c r="N121" s="671"/>
      <c r="O121" s="671"/>
      <c r="P121" s="671"/>
      <c r="Q121" s="671"/>
      <c r="R121" s="671"/>
      <c r="S121" s="671"/>
      <c r="T121" s="671"/>
      <c r="U121" s="671"/>
      <c r="V121" s="671"/>
      <c r="W121" s="671"/>
      <c r="X121" s="671"/>
      <c r="Y121" s="671">
        <f>+O11/2</f>
        <v>122477.04439883331</v>
      </c>
      <c r="Z121" s="672">
        <f>+O11</f>
        <v>244954.08879766663</v>
      </c>
      <c r="AA121" s="672">
        <f>+Z121</f>
        <v>244954.08879766663</v>
      </c>
      <c r="AB121" s="672">
        <f>+AA121</f>
        <v>244954.08879766663</v>
      </c>
      <c r="AC121" s="88">
        <f>+AB121</f>
        <v>244954.08879766663</v>
      </c>
      <c r="AD121" s="672">
        <f>+AC121</f>
        <v>244954.08879766663</v>
      </c>
      <c r="AE121" s="672">
        <f>+AD121</f>
        <v>244954.08879766663</v>
      </c>
      <c r="AF121" s="672">
        <f t="shared" si="49"/>
        <v>244954.08879766663</v>
      </c>
      <c r="AG121" s="672">
        <f t="shared" si="49"/>
        <v>244954.08879766663</v>
      </c>
      <c r="AH121" s="672">
        <f t="shared" si="49"/>
        <v>244954.08879766663</v>
      </c>
      <c r="AI121" s="624">
        <f t="shared" si="49"/>
        <v>244954.08879766663</v>
      </c>
      <c r="AJ121" s="624">
        <f t="shared" si="49"/>
        <v>244954.08879766663</v>
      </c>
      <c r="AK121" s="624">
        <f t="shared" si="49"/>
        <v>244954.08879766663</v>
      </c>
      <c r="AL121" s="624">
        <f t="shared" si="49"/>
        <v>244954.08879766663</v>
      </c>
      <c r="AM121" s="673">
        <f t="shared" si="49"/>
        <v>244954.08879766663</v>
      </c>
      <c r="AN121" s="625">
        <f t="shared" si="49"/>
        <v>244954.08879766663</v>
      </c>
      <c r="AO121" s="625">
        <f t="shared" si="50"/>
        <v>244954.08879766663</v>
      </c>
      <c r="AP121" s="625">
        <f t="shared" si="51"/>
        <v>244954.08879766663</v>
      </c>
      <c r="AQ121" s="625">
        <f t="shared" si="52"/>
        <v>244954.08879766663</v>
      </c>
      <c r="AR121" s="625">
        <f t="shared" si="53"/>
        <v>244954.08879766663</v>
      </c>
      <c r="AS121" s="625">
        <f t="shared" si="54"/>
        <v>244954.08879766663</v>
      </c>
      <c r="AT121" s="674">
        <f t="shared" si="55"/>
        <v>5021558.8203521669</v>
      </c>
      <c r="AU121" s="310"/>
      <c r="AV121" s="310"/>
      <c r="AW121" s="668"/>
    </row>
    <row r="122" spans="1:49" s="669" customFormat="1" x14ac:dyDescent="0.2">
      <c r="A122" s="662"/>
      <c r="B122" s="670" t="s">
        <v>285</v>
      </c>
      <c r="C122" s="671"/>
      <c r="D122" s="671"/>
      <c r="E122" s="671"/>
      <c r="F122" s="671"/>
      <c r="G122" s="671"/>
      <c r="H122" s="671"/>
      <c r="I122" s="671"/>
      <c r="J122" s="671"/>
      <c r="K122" s="671"/>
      <c r="L122" s="671"/>
      <c r="M122" s="671"/>
      <c r="N122" s="671"/>
      <c r="O122" s="671"/>
      <c r="P122" s="671"/>
      <c r="Q122" s="671"/>
      <c r="R122" s="671"/>
      <c r="S122" s="671"/>
      <c r="T122" s="671"/>
      <c r="U122" s="671"/>
      <c r="V122" s="671"/>
      <c r="W122" s="671"/>
      <c r="X122" s="671"/>
      <c r="Y122" s="671"/>
      <c r="Z122" s="88">
        <f>+P11/2</f>
        <v>118062.54726153181</v>
      </c>
      <c r="AA122" s="672">
        <f>+P11</f>
        <v>236125.09452306363</v>
      </c>
      <c r="AB122" s="672">
        <f>+AA122</f>
        <v>236125.09452306363</v>
      </c>
      <c r="AC122" s="88">
        <f>+AB122</f>
        <v>236125.09452306363</v>
      </c>
      <c r="AD122" s="672">
        <f>+AC122</f>
        <v>236125.09452306363</v>
      </c>
      <c r="AE122" s="672">
        <f>+AD122</f>
        <v>236125.09452306363</v>
      </c>
      <c r="AF122" s="672">
        <f t="shared" si="49"/>
        <v>236125.09452306363</v>
      </c>
      <c r="AG122" s="672">
        <f t="shared" si="49"/>
        <v>236125.09452306363</v>
      </c>
      <c r="AH122" s="672">
        <f t="shared" si="49"/>
        <v>236125.09452306363</v>
      </c>
      <c r="AI122" s="624">
        <f t="shared" si="49"/>
        <v>236125.09452306363</v>
      </c>
      <c r="AJ122" s="624">
        <f t="shared" si="49"/>
        <v>236125.09452306363</v>
      </c>
      <c r="AK122" s="624">
        <f t="shared" si="49"/>
        <v>236125.09452306363</v>
      </c>
      <c r="AL122" s="624">
        <f t="shared" si="49"/>
        <v>236125.09452306363</v>
      </c>
      <c r="AM122" s="673">
        <f t="shared" si="49"/>
        <v>236125.09452306363</v>
      </c>
      <c r="AN122" s="625">
        <f t="shared" si="49"/>
        <v>236125.09452306363</v>
      </c>
      <c r="AO122" s="625">
        <f t="shared" si="50"/>
        <v>236125.09452306363</v>
      </c>
      <c r="AP122" s="625">
        <f t="shared" si="51"/>
        <v>236125.09452306363</v>
      </c>
      <c r="AQ122" s="625">
        <f t="shared" si="52"/>
        <v>236125.09452306363</v>
      </c>
      <c r="AR122" s="625">
        <f t="shared" si="53"/>
        <v>236125.09452306363</v>
      </c>
      <c r="AS122" s="625">
        <f t="shared" si="54"/>
        <v>236125.09452306363</v>
      </c>
      <c r="AT122" s="674">
        <f t="shared" si="55"/>
        <v>4604439.343199743</v>
      </c>
      <c r="AU122" s="310"/>
      <c r="AV122" s="310"/>
      <c r="AW122" s="668"/>
    </row>
    <row r="123" spans="1:49" s="669" customFormat="1" ht="12" thickBot="1" x14ac:dyDescent="0.25">
      <c r="A123" s="662"/>
      <c r="B123" s="675" t="s">
        <v>286</v>
      </c>
      <c r="C123" s="676"/>
      <c r="D123" s="676"/>
      <c r="E123" s="676"/>
      <c r="F123" s="676"/>
      <c r="G123" s="676"/>
      <c r="H123" s="676"/>
      <c r="I123" s="676"/>
      <c r="J123" s="676"/>
      <c r="K123" s="676"/>
      <c r="L123" s="676"/>
      <c r="M123" s="676"/>
      <c r="N123" s="676"/>
      <c r="O123" s="676"/>
      <c r="P123" s="676"/>
      <c r="Q123" s="676"/>
      <c r="R123" s="676"/>
      <c r="S123" s="676"/>
      <c r="T123" s="676"/>
      <c r="U123" s="676"/>
      <c r="V123" s="676"/>
      <c r="W123" s="676"/>
      <c r="X123" s="676"/>
      <c r="Y123" s="676"/>
      <c r="Z123" s="676"/>
      <c r="AA123" s="677">
        <f>+Q11/2</f>
        <v>111054</v>
      </c>
      <c r="AB123" s="677">
        <f>+Q11</f>
        <v>222108</v>
      </c>
      <c r="AC123" s="89">
        <f>+AB123</f>
        <v>222108</v>
      </c>
      <c r="AD123" s="677">
        <f>+AC123</f>
        <v>222108</v>
      </c>
      <c r="AE123" s="677">
        <f>+AD123</f>
        <v>222108</v>
      </c>
      <c r="AF123" s="677">
        <f t="shared" si="49"/>
        <v>222108</v>
      </c>
      <c r="AG123" s="677">
        <f t="shared" si="49"/>
        <v>222108</v>
      </c>
      <c r="AH123" s="677">
        <f t="shared" si="49"/>
        <v>222108</v>
      </c>
      <c r="AI123" s="678">
        <f t="shared" si="49"/>
        <v>222108</v>
      </c>
      <c r="AJ123" s="678">
        <f t="shared" si="49"/>
        <v>222108</v>
      </c>
      <c r="AK123" s="678">
        <f t="shared" si="49"/>
        <v>222108</v>
      </c>
      <c r="AL123" s="678">
        <f t="shared" si="49"/>
        <v>222108</v>
      </c>
      <c r="AM123" s="679">
        <f t="shared" si="49"/>
        <v>222108</v>
      </c>
      <c r="AN123" s="680">
        <f t="shared" si="49"/>
        <v>222108</v>
      </c>
      <c r="AO123" s="680">
        <f t="shared" si="50"/>
        <v>222108</v>
      </c>
      <c r="AP123" s="680">
        <f t="shared" si="51"/>
        <v>222108</v>
      </c>
      <c r="AQ123" s="680">
        <f t="shared" si="52"/>
        <v>222108</v>
      </c>
      <c r="AR123" s="680">
        <f t="shared" si="53"/>
        <v>222108</v>
      </c>
      <c r="AS123" s="680">
        <f t="shared" si="54"/>
        <v>222108</v>
      </c>
      <c r="AT123" s="681">
        <f t="shared" si="55"/>
        <v>4108998</v>
      </c>
      <c r="AU123" s="310"/>
      <c r="AV123" s="310"/>
      <c r="AW123" s="668"/>
    </row>
    <row r="124" spans="1:49" s="669" customFormat="1" x14ac:dyDescent="0.2">
      <c r="A124" s="662"/>
      <c r="B124" s="682" t="s">
        <v>287</v>
      </c>
      <c r="C124" s="683"/>
      <c r="D124" s="683"/>
      <c r="E124" s="683"/>
      <c r="F124" s="683"/>
      <c r="G124" s="683"/>
      <c r="H124" s="683"/>
      <c r="I124" s="683"/>
      <c r="J124" s="683"/>
      <c r="K124" s="683"/>
      <c r="L124" s="683"/>
      <c r="M124" s="683"/>
      <c r="N124" s="683"/>
      <c r="O124" s="683"/>
      <c r="P124" s="683"/>
      <c r="Q124" s="683"/>
      <c r="R124" s="683"/>
      <c r="S124" s="683"/>
      <c r="T124" s="683"/>
      <c r="U124" s="683"/>
      <c r="V124" s="683"/>
      <c r="W124" s="683"/>
      <c r="X124" s="683"/>
      <c r="Y124" s="683"/>
      <c r="Z124" s="683"/>
      <c r="AA124" s="683"/>
      <c r="AB124" s="90">
        <f>+M12/2</f>
        <v>5586676.0289510647</v>
      </c>
      <c r="AC124" s="90">
        <f>+M12</f>
        <v>11173352.057902129</v>
      </c>
      <c r="AD124" s="90">
        <f>+M12</f>
        <v>11173352.057902129</v>
      </c>
      <c r="AE124" s="90">
        <f>+M12</f>
        <v>11173352.057902129</v>
      </c>
      <c r="AF124" s="90">
        <f t="shared" si="49"/>
        <v>11173352.057902129</v>
      </c>
      <c r="AG124" s="90">
        <f t="shared" si="49"/>
        <v>11173352.057902129</v>
      </c>
      <c r="AH124" s="90">
        <f>+AG124</f>
        <v>11173352.057902129</v>
      </c>
      <c r="AI124" s="91">
        <f t="shared" si="49"/>
        <v>11173352.057902129</v>
      </c>
      <c r="AJ124" s="91">
        <f t="shared" si="49"/>
        <v>11173352.057902129</v>
      </c>
      <c r="AK124" s="91">
        <f t="shared" si="49"/>
        <v>11173352.057902129</v>
      </c>
      <c r="AL124" s="91">
        <f t="shared" si="49"/>
        <v>11173352.057902129</v>
      </c>
      <c r="AM124" s="90">
        <f t="shared" si="49"/>
        <v>11173352.057902129</v>
      </c>
      <c r="AN124" s="92">
        <f t="shared" si="49"/>
        <v>11173352.057902129</v>
      </c>
      <c r="AO124" s="92">
        <f t="shared" si="50"/>
        <v>11173352.057902129</v>
      </c>
      <c r="AP124" s="92">
        <f t="shared" si="51"/>
        <v>11173352.057902129</v>
      </c>
      <c r="AQ124" s="92">
        <f t="shared" si="52"/>
        <v>11173352.057902129</v>
      </c>
      <c r="AR124" s="92">
        <f t="shared" si="53"/>
        <v>11173352.057902129</v>
      </c>
      <c r="AS124" s="92">
        <f t="shared" si="54"/>
        <v>11173352.057902129</v>
      </c>
      <c r="AT124" s="93">
        <f t="shared" si="55"/>
        <v>195533661.01328725</v>
      </c>
      <c r="AU124" s="310"/>
      <c r="AV124" s="310"/>
      <c r="AW124" s="668"/>
    </row>
    <row r="125" spans="1:49" s="669" customFormat="1" x14ac:dyDescent="0.2">
      <c r="A125" s="662"/>
      <c r="B125" s="684" t="s">
        <v>288</v>
      </c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685"/>
      <c r="AA125" s="685"/>
      <c r="AB125" s="686"/>
      <c r="AC125" s="94">
        <f>+N12/2</f>
        <v>10067412.768715566</v>
      </c>
      <c r="AD125" s="94">
        <f>+N12</f>
        <v>20134825.537431132</v>
      </c>
      <c r="AE125" s="94">
        <f>+N12</f>
        <v>20134825.537431132</v>
      </c>
      <c r="AF125" s="94">
        <f t="shared" si="49"/>
        <v>20134825.537431132</v>
      </c>
      <c r="AG125" s="94">
        <f t="shared" si="49"/>
        <v>20134825.537431132</v>
      </c>
      <c r="AH125" s="94">
        <f t="shared" si="49"/>
        <v>20134825.537431132</v>
      </c>
      <c r="AI125" s="95">
        <f t="shared" si="49"/>
        <v>20134825.537431132</v>
      </c>
      <c r="AJ125" s="95">
        <f t="shared" si="49"/>
        <v>20134825.537431132</v>
      </c>
      <c r="AK125" s="95">
        <f t="shared" si="49"/>
        <v>20134825.537431132</v>
      </c>
      <c r="AL125" s="95">
        <f t="shared" si="49"/>
        <v>20134825.537431132</v>
      </c>
      <c r="AM125" s="94">
        <f t="shared" si="49"/>
        <v>20134825.537431132</v>
      </c>
      <c r="AN125" s="96">
        <f t="shared" si="49"/>
        <v>20134825.537431132</v>
      </c>
      <c r="AO125" s="96">
        <f t="shared" si="50"/>
        <v>20134825.537431132</v>
      </c>
      <c r="AP125" s="96">
        <f t="shared" si="51"/>
        <v>20134825.537431132</v>
      </c>
      <c r="AQ125" s="96">
        <f t="shared" si="52"/>
        <v>20134825.537431132</v>
      </c>
      <c r="AR125" s="96">
        <f t="shared" si="53"/>
        <v>20134825.537431132</v>
      </c>
      <c r="AS125" s="96">
        <f t="shared" si="54"/>
        <v>20134825.537431132</v>
      </c>
      <c r="AT125" s="97">
        <f t="shared" si="55"/>
        <v>332224621.36761361</v>
      </c>
      <c r="AU125" s="310"/>
      <c r="AV125" s="310"/>
      <c r="AW125" s="668"/>
    </row>
    <row r="126" spans="1:49" s="669" customFormat="1" x14ac:dyDescent="0.2">
      <c r="A126" s="662"/>
      <c r="B126" s="684" t="s">
        <v>289</v>
      </c>
      <c r="C126" s="685"/>
      <c r="D126" s="685"/>
      <c r="E126" s="685"/>
      <c r="F126" s="685"/>
      <c r="G126" s="685"/>
      <c r="H126" s="685"/>
      <c r="I126" s="685"/>
      <c r="J126" s="685"/>
      <c r="K126" s="685"/>
      <c r="L126" s="685"/>
      <c r="M126" s="685"/>
      <c r="N126" s="685"/>
      <c r="O126" s="685"/>
      <c r="P126" s="685"/>
      <c r="Q126" s="685"/>
      <c r="R126" s="685"/>
      <c r="S126" s="685"/>
      <c r="T126" s="685"/>
      <c r="U126" s="685"/>
      <c r="V126" s="685"/>
      <c r="W126" s="685"/>
      <c r="X126" s="685"/>
      <c r="Y126" s="685"/>
      <c r="Z126" s="685"/>
      <c r="AA126" s="685"/>
      <c r="AB126" s="686"/>
      <c r="AC126" s="94"/>
      <c r="AD126" s="94">
        <f>+O12/2</f>
        <v>28870065.896078642</v>
      </c>
      <c r="AE126" s="94">
        <f>+O12</f>
        <v>57740131.792157285</v>
      </c>
      <c r="AF126" s="94">
        <f t="shared" si="49"/>
        <v>57740131.792157285</v>
      </c>
      <c r="AG126" s="94">
        <f t="shared" si="49"/>
        <v>57740131.792157285</v>
      </c>
      <c r="AH126" s="94">
        <f t="shared" si="49"/>
        <v>57740131.792157285</v>
      </c>
      <c r="AI126" s="95">
        <f t="shared" si="49"/>
        <v>57740131.792157285</v>
      </c>
      <c r="AJ126" s="95">
        <f t="shared" si="49"/>
        <v>57740131.792157285</v>
      </c>
      <c r="AK126" s="95">
        <f t="shared" si="49"/>
        <v>57740131.792157285</v>
      </c>
      <c r="AL126" s="95">
        <f t="shared" si="49"/>
        <v>57740131.792157285</v>
      </c>
      <c r="AM126" s="94">
        <f t="shared" si="49"/>
        <v>57740131.792157285</v>
      </c>
      <c r="AN126" s="96">
        <f t="shared" si="49"/>
        <v>57740131.792157285</v>
      </c>
      <c r="AO126" s="96">
        <f t="shared" si="50"/>
        <v>57740131.792157285</v>
      </c>
      <c r="AP126" s="96">
        <f t="shared" si="51"/>
        <v>57740131.792157285</v>
      </c>
      <c r="AQ126" s="96">
        <f t="shared" si="52"/>
        <v>57740131.792157285</v>
      </c>
      <c r="AR126" s="96">
        <f t="shared" si="53"/>
        <v>57740131.792157285</v>
      </c>
      <c r="AS126" s="96">
        <f t="shared" si="54"/>
        <v>57740131.792157285</v>
      </c>
      <c r="AT126" s="97">
        <f t="shared" ref="AT126:AT141" si="56">SUM(W126:AS126)</f>
        <v>894972042.77843797</v>
      </c>
      <c r="AU126" s="310"/>
      <c r="AV126" s="310"/>
      <c r="AW126" s="668"/>
    </row>
    <row r="127" spans="1:49" s="669" customFormat="1" x14ac:dyDescent="0.2">
      <c r="A127" s="662"/>
      <c r="B127" s="684" t="s">
        <v>290</v>
      </c>
      <c r="C127" s="685"/>
      <c r="D127" s="685"/>
      <c r="E127" s="685"/>
      <c r="F127" s="685"/>
      <c r="G127" s="685"/>
      <c r="H127" s="685"/>
      <c r="I127" s="685"/>
      <c r="J127" s="685"/>
      <c r="K127" s="685"/>
      <c r="L127" s="685"/>
      <c r="M127" s="685"/>
      <c r="N127" s="685"/>
      <c r="O127" s="685"/>
      <c r="P127" s="685"/>
      <c r="Q127" s="685"/>
      <c r="R127" s="685"/>
      <c r="S127" s="685"/>
      <c r="T127" s="685"/>
      <c r="U127" s="685"/>
      <c r="V127" s="685"/>
      <c r="W127" s="685"/>
      <c r="X127" s="685"/>
      <c r="Y127" s="685"/>
      <c r="Z127" s="685"/>
      <c r="AA127" s="685"/>
      <c r="AB127" s="686"/>
      <c r="AC127" s="94"/>
      <c r="AD127" s="94"/>
      <c r="AE127" s="94">
        <f>+P12/2</f>
        <v>32905734.039105542</v>
      </c>
      <c r="AF127" s="94">
        <f>+P12</f>
        <v>65811468.078211084</v>
      </c>
      <c r="AG127" s="94">
        <f t="shared" si="49"/>
        <v>65811468.078211084</v>
      </c>
      <c r="AH127" s="94">
        <f t="shared" si="49"/>
        <v>65811468.078211084</v>
      </c>
      <c r="AI127" s="95">
        <f t="shared" si="49"/>
        <v>65811468.078211084</v>
      </c>
      <c r="AJ127" s="95">
        <f t="shared" si="49"/>
        <v>65811468.078211084</v>
      </c>
      <c r="AK127" s="95">
        <f t="shared" si="49"/>
        <v>65811468.078211084</v>
      </c>
      <c r="AL127" s="95">
        <f t="shared" si="49"/>
        <v>65811468.078211084</v>
      </c>
      <c r="AM127" s="94">
        <f t="shared" si="49"/>
        <v>65811468.078211084</v>
      </c>
      <c r="AN127" s="96">
        <f t="shared" si="49"/>
        <v>65811468.078211084</v>
      </c>
      <c r="AO127" s="96">
        <f t="shared" si="50"/>
        <v>65811468.078211084</v>
      </c>
      <c r="AP127" s="96">
        <f t="shared" si="51"/>
        <v>65811468.078211084</v>
      </c>
      <c r="AQ127" s="96">
        <f t="shared" si="52"/>
        <v>65811468.078211084</v>
      </c>
      <c r="AR127" s="96">
        <f t="shared" si="53"/>
        <v>65811468.078211084</v>
      </c>
      <c r="AS127" s="96">
        <f t="shared" si="54"/>
        <v>65811468.078211084</v>
      </c>
      <c r="AT127" s="97">
        <f t="shared" si="56"/>
        <v>954266287.13406062</v>
      </c>
      <c r="AU127" s="359"/>
      <c r="AV127" s="310"/>
      <c r="AW127" s="668"/>
    </row>
    <row r="128" spans="1:49" s="669" customFormat="1" x14ac:dyDescent="0.2">
      <c r="A128" s="662"/>
      <c r="B128" s="684" t="s">
        <v>291</v>
      </c>
      <c r="C128" s="685"/>
      <c r="D128" s="685"/>
      <c r="E128" s="685"/>
      <c r="F128" s="685"/>
      <c r="G128" s="685"/>
      <c r="H128" s="685"/>
      <c r="I128" s="685"/>
      <c r="J128" s="685"/>
      <c r="K128" s="685"/>
      <c r="L128" s="685"/>
      <c r="M128" s="685"/>
      <c r="N128" s="685"/>
      <c r="O128" s="685"/>
      <c r="P128" s="685"/>
      <c r="Q128" s="685"/>
      <c r="R128" s="685"/>
      <c r="S128" s="685"/>
      <c r="T128" s="685"/>
      <c r="U128" s="685"/>
      <c r="V128" s="685"/>
      <c r="W128" s="685"/>
      <c r="X128" s="685"/>
      <c r="Y128" s="685"/>
      <c r="Z128" s="685"/>
      <c r="AA128" s="685"/>
      <c r="AB128" s="686"/>
      <c r="AC128" s="94"/>
      <c r="AD128" s="94"/>
      <c r="AE128" s="94"/>
      <c r="AF128" s="94">
        <f>+Q12/2</f>
        <v>39534300</v>
      </c>
      <c r="AG128" s="94">
        <f>+Q12</f>
        <v>79068600</v>
      </c>
      <c r="AH128" s="94">
        <f t="shared" si="49"/>
        <v>79068600</v>
      </c>
      <c r="AI128" s="95">
        <f t="shared" si="49"/>
        <v>79068600</v>
      </c>
      <c r="AJ128" s="95">
        <f t="shared" si="49"/>
        <v>79068600</v>
      </c>
      <c r="AK128" s="95">
        <f t="shared" si="49"/>
        <v>79068600</v>
      </c>
      <c r="AL128" s="95">
        <f t="shared" si="49"/>
        <v>79068600</v>
      </c>
      <c r="AM128" s="94">
        <f t="shared" si="49"/>
        <v>79068600</v>
      </c>
      <c r="AN128" s="96">
        <f t="shared" si="49"/>
        <v>79068600</v>
      </c>
      <c r="AO128" s="96">
        <f t="shared" si="50"/>
        <v>79068600</v>
      </c>
      <c r="AP128" s="96">
        <f t="shared" si="51"/>
        <v>79068600</v>
      </c>
      <c r="AQ128" s="96">
        <f t="shared" si="52"/>
        <v>79068600</v>
      </c>
      <c r="AR128" s="96">
        <f t="shared" si="53"/>
        <v>79068600</v>
      </c>
      <c r="AS128" s="96">
        <f t="shared" si="54"/>
        <v>79068600</v>
      </c>
      <c r="AT128" s="97">
        <f t="shared" si="56"/>
        <v>1067426100</v>
      </c>
      <c r="AU128" s="359"/>
      <c r="AV128" s="310"/>
      <c r="AW128" s="668"/>
    </row>
    <row r="129" spans="1:49" s="669" customFormat="1" x14ac:dyDescent="0.2">
      <c r="A129" s="662"/>
      <c r="B129" s="684" t="s">
        <v>292</v>
      </c>
      <c r="C129" s="685"/>
      <c r="D129" s="685"/>
      <c r="E129" s="685"/>
      <c r="F129" s="685"/>
      <c r="G129" s="685"/>
      <c r="H129" s="685"/>
      <c r="I129" s="685"/>
      <c r="J129" s="685"/>
      <c r="K129" s="685"/>
      <c r="L129" s="685"/>
      <c r="M129" s="685"/>
      <c r="N129" s="685"/>
      <c r="O129" s="685"/>
      <c r="P129" s="685"/>
      <c r="Q129" s="685"/>
      <c r="R129" s="685"/>
      <c r="S129" s="685"/>
      <c r="T129" s="685"/>
      <c r="U129" s="685"/>
      <c r="V129" s="685"/>
      <c r="W129" s="685"/>
      <c r="X129" s="685"/>
      <c r="Y129" s="685"/>
      <c r="Z129" s="685"/>
      <c r="AA129" s="685"/>
      <c r="AB129" s="686"/>
      <c r="AC129" s="94"/>
      <c r="AD129" s="94"/>
      <c r="AE129" s="94"/>
      <c r="AF129" s="94"/>
      <c r="AG129" s="94">
        <f>+R12/2</f>
        <v>67433824</v>
      </c>
      <c r="AH129" s="94">
        <f>+R12</f>
        <v>134867648</v>
      </c>
      <c r="AI129" s="95">
        <f t="shared" si="49"/>
        <v>134867648</v>
      </c>
      <c r="AJ129" s="95">
        <f t="shared" si="49"/>
        <v>134867648</v>
      </c>
      <c r="AK129" s="95">
        <f t="shared" si="49"/>
        <v>134867648</v>
      </c>
      <c r="AL129" s="95">
        <f t="shared" si="49"/>
        <v>134867648</v>
      </c>
      <c r="AM129" s="94">
        <f t="shared" si="49"/>
        <v>134867648</v>
      </c>
      <c r="AN129" s="96">
        <f t="shared" si="49"/>
        <v>134867648</v>
      </c>
      <c r="AO129" s="96">
        <f t="shared" si="50"/>
        <v>134867648</v>
      </c>
      <c r="AP129" s="96">
        <f t="shared" si="51"/>
        <v>134867648</v>
      </c>
      <c r="AQ129" s="96">
        <f t="shared" si="52"/>
        <v>134867648</v>
      </c>
      <c r="AR129" s="96">
        <f t="shared" si="53"/>
        <v>134867648</v>
      </c>
      <c r="AS129" s="96">
        <f t="shared" si="54"/>
        <v>134867648</v>
      </c>
      <c r="AT129" s="97">
        <f t="shared" si="56"/>
        <v>1685845600</v>
      </c>
      <c r="AU129" s="359"/>
      <c r="AV129" s="310"/>
      <c r="AW129" s="668"/>
    </row>
    <row r="130" spans="1:49" s="669" customFormat="1" x14ac:dyDescent="0.2">
      <c r="A130" s="662"/>
      <c r="B130" s="684" t="s">
        <v>293</v>
      </c>
      <c r="C130" s="685"/>
      <c r="D130" s="685"/>
      <c r="E130" s="685"/>
      <c r="F130" s="685"/>
      <c r="G130" s="685"/>
      <c r="H130" s="685"/>
      <c r="I130" s="685"/>
      <c r="J130" s="685"/>
      <c r="K130" s="685"/>
      <c r="L130" s="685"/>
      <c r="M130" s="685"/>
      <c r="N130" s="685"/>
      <c r="O130" s="685"/>
      <c r="P130" s="685"/>
      <c r="Q130" s="685"/>
      <c r="R130" s="685"/>
      <c r="S130" s="685"/>
      <c r="T130" s="685"/>
      <c r="U130" s="685"/>
      <c r="V130" s="685"/>
      <c r="W130" s="685"/>
      <c r="X130" s="685"/>
      <c r="Y130" s="685"/>
      <c r="Z130" s="685"/>
      <c r="AA130" s="685"/>
      <c r="AB130" s="686"/>
      <c r="AC130" s="94"/>
      <c r="AD130" s="94"/>
      <c r="AE130" s="94"/>
      <c r="AF130" s="94"/>
      <c r="AG130" s="94"/>
      <c r="AH130" s="94">
        <f>+S12/2</f>
        <v>82807082.5</v>
      </c>
      <c r="AI130" s="95">
        <f>+S12</f>
        <v>165614165</v>
      </c>
      <c r="AJ130" s="95">
        <f t="shared" si="49"/>
        <v>165614165</v>
      </c>
      <c r="AK130" s="95">
        <f t="shared" si="49"/>
        <v>165614165</v>
      </c>
      <c r="AL130" s="95">
        <f t="shared" si="49"/>
        <v>165614165</v>
      </c>
      <c r="AM130" s="94">
        <f t="shared" si="49"/>
        <v>165614165</v>
      </c>
      <c r="AN130" s="96">
        <f t="shared" si="49"/>
        <v>165614165</v>
      </c>
      <c r="AO130" s="96">
        <f t="shared" si="50"/>
        <v>165614165</v>
      </c>
      <c r="AP130" s="96">
        <f t="shared" si="51"/>
        <v>165614165</v>
      </c>
      <c r="AQ130" s="96">
        <f t="shared" si="52"/>
        <v>165614165</v>
      </c>
      <c r="AR130" s="96">
        <f t="shared" si="53"/>
        <v>165614165</v>
      </c>
      <c r="AS130" s="96">
        <f t="shared" si="54"/>
        <v>165614165</v>
      </c>
      <c r="AT130" s="97">
        <f t="shared" si="56"/>
        <v>1904562897.5</v>
      </c>
      <c r="AU130" s="310"/>
      <c r="AV130" s="310"/>
      <c r="AW130" s="668"/>
    </row>
    <row r="131" spans="1:49" s="669" customFormat="1" x14ac:dyDescent="0.2">
      <c r="A131" s="662"/>
      <c r="B131" s="684" t="s">
        <v>294</v>
      </c>
      <c r="C131" s="685"/>
      <c r="D131" s="685"/>
      <c r="E131" s="685"/>
      <c r="F131" s="685"/>
      <c r="G131" s="685"/>
      <c r="H131" s="685"/>
      <c r="I131" s="685"/>
      <c r="J131" s="685"/>
      <c r="K131" s="685"/>
      <c r="L131" s="685"/>
      <c r="M131" s="685"/>
      <c r="N131" s="685"/>
      <c r="O131" s="685"/>
      <c r="P131" s="685"/>
      <c r="Q131" s="685"/>
      <c r="R131" s="685"/>
      <c r="S131" s="685"/>
      <c r="T131" s="685"/>
      <c r="U131" s="685"/>
      <c r="V131" s="685"/>
      <c r="W131" s="685"/>
      <c r="X131" s="685"/>
      <c r="Y131" s="685"/>
      <c r="Z131" s="685"/>
      <c r="AA131" s="685"/>
      <c r="AB131" s="686"/>
      <c r="AC131" s="94"/>
      <c r="AD131" s="94"/>
      <c r="AE131" s="94"/>
      <c r="AF131" s="94"/>
      <c r="AG131" s="94"/>
      <c r="AH131" s="94"/>
      <c r="AI131" s="95">
        <f>+T12/2</f>
        <v>63224735.5</v>
      </c>
      <c r="AJ131" s="95">
        <f>+T12</f>
        <v>126449471</v>
      </c>
      <c r="AK131" s="95">
        <f t="shared" si="49"/>
        <v>126449471</v>
      </c>
      <c r="AL131" s="95">
        <f t="shared" si="49"/>
        <v>126449471</v>
      </c>
      <c r="AM131" s="94">
        <f t="shared" si="49"/>
        <v>126449471</v>
      </c>
      <c r="AN131" s="96">
        <f t="shared" si="49"/>
        <v>126449471</v>
      </c>
      <c r="AO131" s="96">
        <f t="shared" si="50"/>
        <v>126449471</v>
      </c>
      <c r="AP131" s="96">
        <f t="shared" si="51"/>
        <v>126449471</v>
      </c>
      <c r="AQ131" s="96">
        <f t="shared" si="52"/>
        <v>126449471</v>
      </c>
      <c r="AR131" s="96">
        <f t="shared" si="53"/>
        <v>126449471</v>
      </c>
      <c r="AS131" s="96">
        <f t="shared" si="54"/>
        <v>126449471</v>
      </c>
      <c r="AT131" s="97">
        <f t="shared" si="56"/>
        <v>1327719445.5</v>
      </c>
      <c r="AU131" s="310"/>
      <c r="AV131" s="310"/>
      <c r="AW131" s="668"/>
    </row>
    <row r="132" spans="1:49" s="688" customFormat="1" x14ac:dyDescent="0.2">
      <c r="A132" s="687"/>
      <c r="B132" s="684" t="s">
        <v>295</v>
      </c>
      <c r="C132" s="685"/>
      <c r="D132" s="685"/>
      <c r="E132" s="685"/>
      <c r="F132" s="685"/>
      <c r="G132" s="685"/>
      <c r="H132" s="685"/>
      <c r="I132" s="685"/>
      <c r="J132" s="685"/>
      <c r="K132" s="685"/>
      <c r="L132" s="685"/>
      <c r="M132" s="685"/>
      <c r="N132" s="685"/>
      <c r="O132" s="685"/>
      <c r="P132" s="685"/>
      <c r="Q132" s="685"/>
      <c r="R132" s="685"/>
      <c r="S132" s="685"/>
      <c r="T132" s="685"/>
      <c r="U132" s="685"/>
      <c r="V132" s="685"/>
      <c r="W132" s="685"/>
      <c r="X132" s="685"/>
      <c r="Y132" s="685"/>
      <c r="Z132" s="685"/>
      <c r="AA132" s="685"/>
      <c r="AB132" s="686"/>
      <c r="AC132" s="94"/>
      <c r="AD132" s="94"/>
      <c r="AE132" s="94"/>
      <c r="AF132" s="94"/>
      <c r="AG132" s="94"/>
      <c r="AH132" s="94"/>
      <c r="AI132" s="95"/>
      <c r="AJ132" s="95">
        <f>+U12/2</f>
        <v>73652283.5</v>
      </c>
      <c r="AK132" s="95">
        <f>+U12</f>
        <v>147304567</v>
      </c>
      <c r="AL132" s="95">
        <f>+AK132</f>
        <v>147304567</v>
      </c>
      <c r="AM132" s="94">
        <f>+AL132</f>
        <v>147304567</v>
      </c>
      <c r="AN132" s="96">
        <f>+AM132</f>
        <v>147304567</v>
      </c>
      <c r="AO132" s="96">
        <f t="shared" si="50"/>
        <v>147304567</v>
      </c>
      <c r="AP132" s="96">
        <f t="shared" si="51"/>
        <v>147304567</v>
      </c>
      <c r="AQ132" s="96">
        <f t="shared" si="52"/>
        <v>147304567</v>
      </c>
      <c r="AR132" s="96">
        <f t="shared" si="53"/>
        <v>147304567</v>
      </c>
      <c r="AS132" s="96">
        <f t="shared" si="54"/>
        <v>147304567</v>
      </c>
      <c r="AT132" s="97">
        <f t="shared" si="56"/>
        <v>1399393386.5</v>
      </c>
      <c r="AU132" s="310"/>
      <c r="AV132" s="310"/>
    </row>
    <row r="133" spans="1:49" s="688" customFormat="1" x14ac:dyDescent="0.2">
      <c r="A133" s="687"/>
      <c r="B133" s="684" t="s">
        <v>296</v>
      </c>
      <c r="C133" s="685"/>
      <c r="D133" s="685"/>
      <c r="E133" s="685"/>
      <c r="F133" s="685"/>
      <c r="G133" s="685"/>
      <c r="H133" s="685"/>
      <c r="I133" s="685"/>
      <c r="J133" s="685"/>
      <c r="K133" s="685"/>
      <c r="L133" s="685"/>
      <c r="M133" s="685"/>
      <c r="N133" s="685"/>
      <c r="O133" s="685"/>
      <c r="P133" s="685"/>
      <c r="Q133" s="685"/>
      <c r="R133" s="685"/>
      <c r="S133" s="685"/>
      <c r="T133" s="685"/>
      <c r="U133" s="685"/>
      <c r="V133" s="685"/>
      <c r="W133" s="685"/>
      <c r="X133" s="685"/>
      <c r="Y133" s="685"/>
      <c r="Z133" s="685"/>
      <c r="AA133" s="685"/>
      <c r="AB133" s="686"/>
      <c r="AC133" s="94"/>
      <c r="AD133" s="94"/>
      <c r="AE133" s="94"/>
      <c r="AF133" s="94"/>
      <c r="AG133" s="94"/>
      <c r="AH133" s="94"/>
      <c r="AI133" s="95"/>
      <c r="AJ133" s="95"/>
      <c r="AK133" s="95">
        <f>+V12/2</f>
        <v>58285200.5</v>
      </c>
      <c r="AL133" s="95">
        <f>+V12</f>
        <v>116570401</v>
      </c>
      <c r="AM133" s="94">
        <f>+AL133</f>
        <v>116570401</v>
      </c>
      <c r="AN133" s="96">
        <f>+AM133</f>
        <v>116570401</v>
      </c>
      <c r="AO133" s="96">
        <f t="shared" si="50"/>
        <v>116570401</v>
      </c>
      <c r="AP133" s="96">
        <f t="shared" si="51"/>
        <v>116570401</v>
      </c>
      <c r="AQ133" s="96">
        <f t="shared" si="52"/>
        <v>116570401</v>
      </c>
      <c r="AR133" s="96">
        <f t="shared" si="53"/>
        <v>116570401</v>
      </c>
      <c r="AS133" s="96">
        <f t="shared" si="54"/>
        <v>116570401</v>
      </c>
      <c r="AT133" s="97">
        <f t="shared" si="56"/>
        <v>990848408.5</v>
      </c>
      <c r="AU133" s="310"/>
      <c r="AV133" s="310"/>
    </row>
    <row r="134" spans="1:49" s="688" customFormat="1" x14ac:dyDescent="0.2">
      <c r="A134" s="687"/>
      <c r="B134" s="684" t="s">
        <v>297</v>
      </c>
      <c r="C134" s="685"/>
      <c r="D134" s="685"/>
      <c r="E134" s="685"/>
      <c r="F134" s="685"/>
      <c r="G134" s="685"/>
      <c r="H134" s="685"/>
      <c r="I134" s="685"/>
      <c r="J134" s="685"/>
      <c r="K134" s="685"/>
      <c r="L134" s="685"/>
      <c r="M134" s="685"/>
      <c r="N134" s="685"/>
      <c r="O134" s="685"/>
      <c r="P134" s="685"/>
      <c r="Q134" s="685"/>
      <c r="R134" s="685"/>
      <c r="S134" s="685"/>
      <c r="T134" s="685"/>
      <c r="U134" s="685"/>
      <c r="V134" s="685"/>
      <c r="W134" s="685"/>
      <c r="X134" s="685"/>
      <c r="Y134" s="685"/>
      <c r="Z134" s="685"/>
      <c r="AA134" s="685"/>
      <c r="AB134" s="686"/>
      <c r="AC134" s="94"/>
      <c r="AD134" s="94"/>
      <c r="AE134" s="94"/>
      <c r="AF134" s="94"/>
      <c r="AG134" s="94"/>
      <c r="AH134" s="94"/>
      <c r="AI134" s="95"/>
      <c r="AJ134" s="95"/>
      <c r="AK134" s="95"/>
      <c r="AL134" s="95">
        <f>+W12/2</f>
        <v>44109504</v>
      </c>
      <c r="AM134" s="94">
        <f>+W12</f>
        <v>88219008</v>
      </c>
      <c r="AN134" s="96">
        <f>AM134</f>
        <v>88219008</v>
      </c>
      <c r="AO134" s="96">
        <f t="shared" ref="AO134:AS135" si="57">AN134</f>
        <v>88219008</v>
      </c>
      <c r="AP134" s="96">
        <f t="shared" si="57"/>
        <v>88219008</v>
      </c>
      <c r="AQ134" s="96">
        <f t="shared" si="57"/>
        <v>88219008</v>
      </c>
      <c r="AR134" s="96">
        <f t="shared" si="57"/>
        <v>88219008</v>
      </c>
      <c r="AS134" s="96">
        <f t="shared" si="57"/>
        <v>88219008</v>
      </c>
      <c r="AT134" s="97">
        <f t="shared" si="56"/>
        <v>661642560</v>
      </c>
      <c r="AU134" s="310"/>
      <c r="AV134" s="310"/>
    </row>
    <row r="135" spans="1:49" s="688" customFormat="1" x14ac:dyDescent="0.2">
      <c r="A135" s="687"/>
      <c r="B135" s="684" t="s">
        <v>298</v>
      </c>
      <c r="C135" s="685"/>
      <c r="D135" s="685"/>
      <c r="E135" s="685"/>
      <c r="F135" s="685"/>
      <c r="G135" s="685"/>
      <c r="H135" s="685"/>
      <c r="I135" s="685"/>
      <c r="J135" s="685"/>
      <c r="K135" s="685"/>
      <c r="L135" s="685"/>
      <c r="M135" s="685"/>
      <c r="N135" s="685"/>
      <c r="O135" s="685"/>
      <c r="P135" s="685"/>
      <c r="Q135" s="685"/>
      <c r="R135" s="685"/>
      <c r="S135" s="685"/>
      <c r="T135" s="685"/>
      <c r="U135" s="685"/>
      <c r="V135" s="685"/>
      <c r="W135" s="685"/>
      <c r="X135" s="685"/>
      <c r="Y135" s="685"/>
      <c r="Z135" s="685"/>
      <c r="AA135" s="685"/>
      <c r="AB135" s="686"/>
      <c r="AC135" s="94"/>
      <c r="AD135" s="94"/>
      <c r="AE135" s="94"/>
      <c r="AF135" s="94"/>
      <c r="AG135" s="94"/>
      <c r="AH135" s="94"/>
      <c r="AI135" s="95"/>
      <c r="AJ135" s="95"/>
      <c r="AK135" s="95"/>
      <c r="AL135" s="95"/>
      <c r="AM135" s="94">
        <f>+X12/2</f>
        <v>46806754</v>
      </c>
      <c r="AN135" s="96">
        <f>+X12</f>
        <v>93613508</v>
      </c>
      <c r="AO135" s="96">
        <f>AN135</f>
        <v>93613508</v>
      </c>
      <c r="AP135" s="96">
        <f t="shared" si="57"/>
        <v>93613508</v>
      </c>
      <c r="AQ135" s="96">
        <f t="shared" si="57"/>
        <v>93613508</v>
      </c>
      <c r="AR135" s="96">
        <f t="shared" si="57"/>
        <v>93613508</v>
      </c>
      <c r="AS135" s="96">
        <f t="shared" si="57"/>
        <v>93613508</v>
      </c>
      <c r="AT135" s="97">
        <f t="shared" si="56"/>
        <v>608487802</v>
      </c>
      <c r="AU135" s="310"/>
      <c r="AV135" s="310"/>
    </row>
    <row r="136" spans="1:49" s="688" customFormat="1" x14ac:dyDescent="0.2">
      <c r="A136" s="687"/>
      <c r="B136" s="684" t="s">
        <v>299</v>
      </c>
      <c r="C136" s="685"/>
      <c r="D136" s="685"/>
      <c r="E136" s="685"/>
      <c r="F136" s="685"/>
      <c r="G136" s="685"/>
      <c r="H136" s="685"/>
      <c r="I136" s="685"/>
      <c r="J136" s="685"/>
      <c r="K136" s="685"/>
      <c r="L136" s="685"/>
      <c r="M136" s="685"/>
      <c r="N136" s="685"/>
      <c r="O136" s="685"/>
      <c r="P136" s="685"/>
      <c r="Q136" s="685"/>
      <c r="R136" s="685"/>
      <c r="S136" s="685"/>
      <c r="T136" s="685"/>
      <c r="U136" s="685"/>
      <c r="V136" s="685"/>
      <c r="W136" s="685"/>
      <c r="X136" s="685"/>
      <c r="Y136" s="685"/>
      <c r="Z136" s="685"/>
      <c r="AA136" s="685"/>
      <c r="AB136" s="686"/>
      <c r="AC136" s="94"/>
      <c r="AD136" s="94"/>
      <c r="AE136" s="94"/>
      <c r="AF136" s="94"/>
      <c r="AG136" s="94"/>
      <c r="AH136" s="94"/>
      <c r="AI136" s="95"/>
      <c r="AJ136" s="95"/>
      <c r="AK136" s="95"/>
      <c r="AL136" s="95"/>
      <c r="AM136" s="94"/>
      <c r="AN136" s="96">
        <f>Y12/2</f>
        <v>34823992</v>
      </c>
      <c r="AO136" s="96">
        <f>Y12</f>
        <v>69647984</v>
      </c>
      <c r="AP136" s="96">
        <f>AO136</f>
        <v>69647984</v>
      </c>
      <c r="AQ136" s="96">
        <f t="shared" ref="AQ136:AS136" si="58">AP136</f>
        <v>69647984</v>
      </c>
      <c r="AR136" s="96">
        <f t="shared" si="58"/>
        <v>69647984</v>
      </c>
      <c r="AS136" s="96">
        <f t="shared" si="58"/>
        <v>69647984</v>
      </c>
      <c r="AT136" s="97">
        <f t="shared" si="56"/>
        <v>383063912</v>
      </c>
      <c r="AU136" s="310"/>
      <c r="AV136" s="310"/>
    </row>
    <row r="137" spans="1:49" s="688" customFormat="1" x14ac:dyDescent="0.2">
      <c r="A137" s="687"/>
      <c r="B137" s="684" t="s">
        <v>300</v>
      </c>
      <c r="C137" s="689"/>
      <c r="D137" s="689"/>
      <c r="E137" s="689"/>
      <c r="F137" s="689"/>
      <c r="G137" s="689"/>
      <c r="H137" s="689"/>
      <c r="I137" s="689"/>
      <c r="J137" s="689"/>
      <c r="K137" s="689"/>
      <c r="L137" s="689"/>
      <c r="M137" s="689"/>
      <c r="N137" s="689"/>
      <c r="O137" s="689"/>
      <c r="P137" s="689"/>
      <c r="Q137" s="689"/>
      <c r="R137" s="689"/>
      <c r="S137" s="689"/>
      <c r="T137" s="689"/>
      <c r="U137" s="689"/>
      <c r="V137" s="689"/>
      <c r="W137" s="689"/>
      <c r="X137" s="689"/>
      <c r="Y137" s="689"/>
      <c r="Z137" s="689"/>
      <c r="AA137" s="689"/>
      <c r="AB137" s="690"/>
      <c r="AC137" s="163"/>
      <c r="AD137" s="163"/>
      <c r="AE137" s="163"/>
      <c r="AF137" s="163"/>
      <c r="AG137" s="163"/>
      <c r="AH137" s="163"/>
      <c r="AI137" s="164"/>
      <c r="AJ137" s="164"/>
      <c r="AK137" s="164"/>
      <c r="AL137" s="164"/>
      <c r="AM137" s="163"/>
      <c r="AN137" s="165"/>
      <c r="AO137" s="165">
        <f>Z12/2</f>
        <v>41338666.05985757</v>
      </c>
      <c r="AP137" s="165">
        <f>Z12</f>
        <v>82677332.119715139</v>
      </c>
      <c r="AQ137" s="165">
        <f>AP137</f>
        <v>82677332.119715139</v>
      </c>
      <c r="AR137" s="165">
        <f t="shared" ref="AR137:AS139" si="59">AQ137</f>
        <v>82677332.119715139</v>
      </c>
      <c r="AS137" s="165">
        <f t="shared" si="59"/>
        <v>82677332.119715139</v>
      </c>
      <c r="AT137" s="166">
        <f t="shared" si="56"/>
        <v>372047994.53871816</v>
      </c>
      <c r="AU137" s="310"/>
      <c r="AV137" s="310"/>
    </row>
    <row r="138" spans="1:49" s="688" customFormat="1" x14ac:dyDescent="0.2">
      <c r="A138" s="687"/>
      <c r="B138" s="684" t="s">
        <v>301</v>
      </c>
      <c r="C138" s="689"/>
      <c r="D138" s="689"/>
      <c r="E138" s="689"/>
      <c r="F138" s="689"/>
      <c r="G138" s="689"/>
      <c r="H138" s="689"/>
      <c r="I138" s="689"/>
      <c r="J138" s="689"/>
      <c r="K138" s="689"/>
      <c r="L138" s="689"/>
      <c r="M138" s="689"/>
      <c r="N138" s="689"/>
      <c r="O138" s="689"/>
      <c r="P138" s="689"/>
      <c r="Q138" s="689"/>
      <c r="R138" s="689"/>
      <c r="S138" s="689"/>
      <c r="T138" s="689"/>
      <c r="U138" s="689"/>
      <c r="V138" s="689"/>
      <c r="W138" s="689"/>
      <c r="X138" s="689"/>
      <c r="Y138" s="689"/>
      <c r="Z138" s="689"/>
      <c r="AA138" s="689"/>
      <c r="AB138" s="690"/>
      <c r="AC138" s="163"/>
      <c r="AD138" s="163"/>
      <c r="AE138" s="163"/>
      <c r="AF138" s="163"/>
      <c r="AG138" s="163"/>
      <c r="AH138" s="163"/>
      <c r="AI138" s="164"/>
      <c r="AJ138" s="164"/>
      <c r="AK138" s="164"/>
      <c r="AL138" s="164"/>
      <c r="AM138" s="163"/>
      <c r="AN138" s="165"/>
      <c r="AO138" s="165"/>
      <c r="AP138" s="165">
        <f>AA12/2</f>
        <v>43055686.844751418</v>
      </c>
      <c r="AQ138" s="165">
        <f>AA12</f>
        <v>86111373.689502835</v>
      </c>
      <c r="AR138" s="165">
        <f t="shared" si="59"/>
        <v>86111373.689502835</v>
      </c>
      <c r="AS138" s="165">
        <f t="shared" si="59"/>
        <v>86111373.689502835</v>
      </c>
      <c r="AT138" s="166">
        <f t="shared" si="56"/>
        <v>301389807.91325992</v>
      </c>
      <c r="AU138" s="310"/>
      <c r="AV138" s="310"/>
    </row>
    <row r="139" spans="1:49" s="688" customFormat="1" x14ac:dyDescent="0.2">
      <c r="A139" s="687"/>
      <c r="B139" s="684" t="s">
        <v>302</v>
      </c>
      <c r="C139" s="689"/>
      <c r="D139" s="689"/>
      <c r="E139" s="689"/>
      <c r="F139" s="689"/>
      <c r="G139" s="689"/>
      <c r="H139" s="689"/>
      <c r="I139" s="689"/>
      <c r="J139" s="689"/>
      <c r="K139" s="689"/>
      <c r="L139" s="689"/>
      <c r="M139" s="689"/>
      <c r="N139" s="689"/>
      <c r="O139" s="689"/>
      <c r="P139" s="689"/>
      <c r="Q139" s="689"/>
      <c r="R139" s="689"/>
      <c r="S139" s="689"/>
      <c r="T139" s="689"/>
      <c r="U139" s="689"/>
      <c r="V139" s="689"/>
      <c r="W139" s="689"/>
      <c r="X139" s="689"/>
      <c r="Y139" s="689"/>
      <c r="Z139" s="689"/>
      <c r="AA139" s="689"/>
      <c r="AB139" s="690"/>
      <c r="AC139" s="163"/>
      <c r="AD139" s="163"/>
      <c r="AE139" s="163"/>
      <c r="AF139" s="163"/>
      <c r="AG139" s="163"/>
      <c r="AH139" s="163"/>
      <c r="AI139" s="164"/>
      <c r="AJ139" s="164"/>
      <c r="AK139" s="164"/>
      <c r="AL139" s="164"/>
      <c r="AM139" s="163"/>
      <c r="AN139" s="165"/>
      <c r="AO139" s="165"/>
      <c r="AP139" s="165"/>
      <c r="AQ139" s="165">
        <f>AB12/2</f>
        <v>44584528.274566911</v>
      </c>
      <c r="AR139" s="165">
        <f>AB12</f>
        <v>89169056.549133822</v>
      </c>
      <c r="AS139" s="165">
        <f t="shared" si="59"/>
        <v>89169056.549133822</v>
      </c>
      <c r="AT139" s="166">
        <f t="shared" si="56"/>
        <v>222922641.37283456</v>
      </c>
      <c r="AU139" s="310"/>
      <c r="AV139" s="310"/>
    </row>
    <row r="140" spans="1:49" s="688" customFormat="1" x14ac:dyDescent="0.2">
      <c r="A140" s="687"/>
      <c r="B140" s="684" t="s">
        <v>303</v>
      </c>
      <c r="C140" s="689"/>
      <c r="D140" s="689"/>
      <c r="E140" s="689"/>
      <c r="F140" s="689"/>
      <c r="G140" s="689"/>
      <c r="H140" s="689"/>
      <c r="I140" s="689"/>
      <c r="J140" s="689"/>
      <c r="K140" s="689"/>
      <c r="L140" s="689"/>
      <c r="M140" s="689"/>
      <c r="N140" s="689"/>
      <c r="O140" s="689"/>
      <c r="P140" s="689"/>
      <c r="Q140" s="689"/>
      <c r="R140" s="689"/>
      <c r="S140" s="689"/>
      <c r="T140" s="689"/>
      <c r="U140" s="689"/>
      <c r="V140" s="689"/>
      <c r="W140" s="689"/>
      <c r="X140" s="689"/>
      <c r="Y140" s="689"/>
      <c r="Z140" s="689"/>
      <c r="AA140" s="689"/>
      <c r="AB140" s="690"/>
      <c r="AC140" s="163"/>
      <c r="AD140" s="163"/>
      <c r="AE140" s="163"/>
      <c r="AF140" s="163"/>
      <c r="AG140" s="163"/>
      <c r="AH140" s="163"/>
      <c r="AI140" s="164"/>
      <c r="AJ140" s="164"/>
      <c r="AK140" s="164"/>
      <c r="AL140" s="164"/>
      <c r="AM140" s="163"/>
      <c r="AN140" s="165"/>
      <c r="AO140" s="165"/>
      <c r="AP140" s="165"/>
      <c r="AQ140" s="165"/>
      <c r="AR140" s="165">
        <f>AC12/2</f>
        <v>15620988.497140449</v>
      </c>
      <c r="AS140" s="165">
        <f>AC12</f>
        <v>31241976.994280897</v>
      </c>
      <c r="AT140" s="166">
        <f t="shared" si="56"/>
        <v>46862965.491421342</v>
      </c>
      <c r="AU140" s="310"/>
      <c r="AV140" s="310"/>
    </row>
    <row r="141" spans="1:49" s="688" customFormat="1" ht="12" thickBot="1" x14ac:dyDescent="0.25">
      <c r="A141" s="687"/>
      <c r="B141" s="684" t="s">
        <v>304</v>
      </c>
      <c r="C141" s="689"/>
      <c r="D141" s="689"/>
      <c r="E141" s="689"/>
      <c r="F141" s="689"/>
      <c r="G141" s="689"/>
      <c r="H141" s="689"/>
      <c r="I141" s="689"/>
      <c r="J141" s="689"/>
      <c r="K141" s="689"/>
      <c r="L141" s="689"/>
      <c r="M141" s="689"/>
      <c r="N141" s="689"/>
      <c r="O141" s="689"/>
      <c r="P141" s="689"/>
      <c r="Q141" s="689"/>
      <c r="R141" s="689"/>
      <c r="S141" s="689"/>
      <c r="T141" s="689"/>
      <c r="U141" s="689"/>
      <c r="V141" s="689"/>
      <c r="W141" s="689"/>
      <c r="X141" s="689"/>
      <c r="Y141" s="689"/>
      <c r="Z141" s="689"/>
      <c r="AA141" s="689"/>
      <c r="AB141" s="690"/>
      <c r="AC141" s="163"/>
      <c r="AD141" s="163"/>
      <c r="AE141" s="163"/>
      <c r="AF141" s="163"/>
      <c r="AG141" s="163"/>
      <c r="AH141" s="163"/>
      <c r="AI141" s="164"/>
      <c r="AJ141" s="164"/>
      <c r="AK141" s="164"/>
      <c r="AL141" s="164"/>
      <c r="AM141" s="163"/>
      <c r="AN141" s="165"/>
      <c r="AO141" s="165"/>
      <c r="AP141" s="165"/>
      <c r="AQ141" s="165"/>
      <c r="AR141" s="165"/>
      <c r="AS141" s="165">
        <f>AD12/2</f>
        <v>26020670.188074138</v>
      </c>
      <c r="AT141" s="166">
        <f t="shared" si="56"/>
        <v>26020670.188074138</v>
      </c>
      <c r="AU141" s="310"/>
      <c r="AV141" s="310"/>
    </row>
    <row r="142" spans="1:49" s="688" customFormat="1" x14ac:dyDescent="0.2">
      <c r="A142" s="687"/>
      <c r="B142" s="691" t="s">
        <v>305</v>
      </c>
      <c r="C142" s="692"/>
      <c r="D142" s="692"/>
      <c r="E142" s="692"/>
      <c r="F142" s="692"/>
      <c r="G142" s="692"/>
      <c r="H142" s="692"/>
      <c r="I142" s="692"/>
      <c r="J142" s="692"/>
      <c r="K142" s="692"/>
      <c r="L142" s="692"/>
      <c r="M142" s="692"/>
      <c r="N142" s="692"/>
      <c r="O142" s="692"/>
      <c r="P142" s="692"/>
      <c r="Q142" s="692"/>
      <c r="R142" s="692"/>
      <c r="S142" s="692"/>
      <c r="T142" s="692"/>
      <c r="U142" s="692"/>
      <c r="V142" s="692"/>
      <c r="W142" s="692"/>
      <c r="X142" s="692"/>
      <c r="Y142" s="692"/>
      <c r="Z142" s="692"/>
      <c r="AA142" s="692"/>
      <c r="AB142" s="693">
        <f>+M17/2</f>
        <v>599035.86475099926</v>
      </c>
      <c r="AC142" s="693">
        <f>+M17</f>
        <v>1198071.7295019985</v>
      </c>
      <c r="AD142" s="693">
        <f>+AC142</f>
        <v>1198071.7295019985</v>
      </c>
      <c r="AE142" s="693">
        <f>+M17</f>
        <v>1198071.7295019985</v>
      </c>
      <c r="AF142" s="693">
        <f>+AE142</f>
        <v>1198071.7295019985</v>
      </c>
      <c r="AG142" s="693">
        <f t="shared" ref="AG142:AN154" si="60">+AF142</f>
        <v>1198071.7295019985</v>
      </c>
      <c r="AH142" s="693">
        <f t="shared" si="60"/>
        <v>1198071.7295019985</v>
      </c>
      <c r="AI142" s="694">
        <f t="shared" si="60"/>
        <v>1198071.7295019985</v>
      </c>
      <c r="AJ142" s="694">
        <f t="shared" si="60"/>
        <v>1198071.7295019985</v>
      </c>
      <c r="AK142" s="694">
        <f t="shared" si="60"/>
        <v>1198071.7295019985</v>
      </c>
      <c r="AL142" s="694">
        <f t="shared" si="60"/>
        <v>1198071.7295019985</v>
      </c>
      <c r="AM142" s="695">
        <f t="shared" si="60"/>
        <v>1198071.7295019985</v>
      </c>
      <c r="AN142" s="696">
        <f t="shared" si="60"/>
        <v>1198071.7295019985</v>
      </c>
      <c r="AO142" s="696">
        <f t="shared" ref="AO142:AO167" si="61">+AN142</f>
        <v>1198071.7295019985</v>
      </c>
      <c r="AP142" s="696">
        <f t="shared" ref="AP142:AP167" si="62">+AO142</f>
        <v>1198071.7295019985</v>
      </c>
      <c r="AQ142" s="696">
        <f t="shared" ref="AQ142:AQ167" si="63">+AP142</f>
        <v>1198071.7295019985</v>
      </c>
      <c r="AR142" s="696">
        <f t="shared" ref="AR142:AR167" si="64">+AQ142</f>
        <v>1198071.7295019985</v>
      </c>
      <c r="AS142" s="696">
        <f t="shared" ref="AS142:AS167" si="65">+AR142</f>
        <v>1198071.7295019985</v>
      </c>
      <c r="AT142" s="697">
        <f>SUM(W142:AS142)</f>
        <v>20966255.266284976</v>
      </c>
      <c r="AU142" s="310"/>
      <c r="AV142" s="310"/>
    </row>
    <row r="143" spans="1:49" s="688" customFormat="1" x14ac:dyDescent="0.2">
      <c r="A143" s="687"/>
      <c r="B143" s="698" t="s">
        <v>306</v>
      </c>
      <c r="C143" s="699"/>
      <c r="D143" s="699"/>
      <c r="E143" s="699"/>
      <c r="F143" s="699"/>
      <c r="G143" s="699"/>
      <c r="H143" s="699"/>
      <c r="I143" s="699"/>
      <c r="J143" s="699"/>
      <c r="K143" s="699"/>
      <c r="L143" s="699"/>
      <c r="M143" s="699"/>
      <c r="N143" s="699"/>
      <c r="O143" s="699"/>
      <c r="P143" s="699"/>
      <c r="Q143" s="699"/>
      <c r="R143" s="699"/>
      <c r="S143" s="699"/>
      <c r="T143" s="699"/>
      <c r="U143" s="699"/>
      <c r="V143" s="699"/>
      <c r="W143" s="699"/>
      <c r="X143" s="699"/>
      <c r="Y143" s="699"/>
      <c r="Z143" s="699"/>
      <c r="AA143" s="699"/>
      <c r="AB143" s="699"/>
      <c r="AC143" s="700">
        <f>+N17/2</f>
        <v>898771.20017284225</v>
      </c>
      <c r="AD143" s="700">
        <f>+N17</f>
        <v>1797542.4003456845</v>
      </c>
      <c r="AE143" s="700">
        <f>+N17</f>
        <v>1797542.4003456845</v>
      </c>
      <c r="AF143" s="700">
        <f>+AE143</f>
        <v>1797542.4003456845</v>
      </c>
      <c r="AG143" s="700">
        <f t="shared" si="60"/>
        <v>1797542.4003456845</v>
      </c>
      <c r="AH143" s="700">
        <f t="shared" si="60"/>
        <v>1797542.4003456845</v>
      </c>
      <c r="AI143" s="701">
        <f>+AH143</f>
        <v>1797542.4003456845</v>
      </c>
      <c r="AJ143" s="701">
        <f t="shared" si="60"/>
        <v>1797542.4003456845</v>
      </c>
      <c r="AK143" s="701">
        <f t="shared" si="60"/>
        <v>1797542.4003456845</v>
      </c>
      <c r="AL143" s="701">
        <f t="shared" si="60"/>
        <v>1797542.4003456845</v>
      </c>
      <c r="AM143" s="702">
        <f t="shared" si="60"/>
        <v>1797542.4003456845</v>
      </c>
      <c r="AN143" s="703">
        <f t="shared" si="60"/>
        <v>1797542.4003456845</v>
      </c>
      <c r="AO143" s="703">
        <f t="shared" si="61"/>
        <v>1797542.4003456845</v>
      </c>
      <c r="AP143" s="703">
        <f t="shared" si="62"/>
        <v>1797542.4003456845</v>
      </c>
      <c r="AQ143" s="703">
        <f t="shared" si="63"/>
        <v>1797542.4003456845</v>
      </c>
      <c r="AR143" s="703">
        <f t="shared" si="64"/>
        <v>1797542.4003456845</v>
      </c>
      <c r="AS143" s="703">
        <f t="shared" si="65"/>
        <v>1797542.4003456845</v>
      </c>
      <c r="AT143" s="704">
        <f t="shared" ref="AT143:AT148" si="66">SUM(W143:AS143)</f>
        <v>29659449.605703786</v>
      </c>
      <c r="AU143" s="310"/>
      <c r="AV143" s="310"/>
    </row>
    <row r="144" spans="1:49" s="707" customFormat="1" x14ac:dyDescent="0.2">
      <c r="A144" s="705"/>
      <c r="B144" s="698" t="s">
        <v>307</v>
      </c>
      <c r="C144" s="699"/>
      <c r="D144" s="699"/>
      <c r="E144" s="699"/>
      <c r="F144" s="699"/>
      <c r="G144" s="699"/>
      <c r="H144" s="699"/>
      <c r="I144" s="699"/>
      <c r="J144" s="699"/>
      <c r="K144" s="699"/>
      <c r="L144" s="699"/>
      <c r="M144" s="699"/>
      <c r="N144" s="699"/>
      <c r="O144" s="699"/>
      <c r="P144" s="699"/>
      <c r="Q144" s="699"/>
      <c r="R144" s="699"/>
      <c r="S144" s="699"/>
      <c r="T144" s="699"/>
      <c r="U144" s="699"/>
      <c r="V144" s="699"/>
      <c r="W144" s="699"/>
      <c r="X144" s="699"/>
      <c r="Y144" s="699"/>
      <c r="Z144" s="699"/>
      <c r="AA144" s="699"/>
      <c r="AB144" s="699"/>
      <c r="AC144" s="700"/>
      <c r="AD144" s="700">
        <f>+O17/2</f>
        <v>2837347.952900508</v>
      </c>
      <c r="AE144" s="700">
        <f>+O17</f>
        <v>5674695.9058010159</v>
      </c>
      <c r="AF144" s="700">
        <f>+AE144</f>
        <v>5674695.9058010159</v>
      </c>
      <c r="AG144" s="700">
        <f t="shared" si="60"/>
        <v>5674695.9058010159</v>
      </c>
      <c r="AH144" s="700">
        <f t="shared" si="60"/>
        <v>5674695.9058010159</v>
      </c>
      <c r="AI144" s="701">
        <f t="shared" si="60"/>
        <v>5674695.9058010159</v>
      </c>
      <c r="AJ144" s="701">
        <f t="shared" si="60"/>
        <v>5674695.9058010159</v>
      </c>
      <c r="AK144" s="701">
        <f t="shared" si="60"/>
        <v>5674695.9058010159</v>
      </c>
      <c r="AL144" s="701">
        <f t="shared" si="60"/>
        <v>5674695.9058010159</v>
      </c>
      <c r="AM144" s="702">
        <f t="shared" si="60"/>
        <v>5674695.9058010159</v>
      </c>
      <c r="AN144" s="703">
        <f t="shared" si="60"/>
        <v>5674695.9058010159</v>
      </c>
      <c r="AO144" s="703">
        <f t="shared" si="61"/>
        <v>5674695.9058010159</v>
      </c>
      <c r="AP144" s="703">
        <f t="shared" si="62"/>
        <v>5674695.9058010159</v>
      </c>
      <c r="AQ144" s="703">
        <f t="shared" si="63"/>
        <v>5674695.9058010159</v>
      </c>
      <c r="AR144" s="703">
        <f t="shared" si="64"/>
        <v>5674695.9058010159</v>
      </c>
      <c r="AS144" s="703">
        <f t="shared" si="65"/>
        <v>5674695.9058010159</v>
      </c>
      <c r="AT144" s="704">
        <f t="shared" si="66"/>
        <v>87957786.539915726</v>
      </c>
      <c r="AU144" s="310"/>
      <c r="AV144" s="310"/>
      <c r="AW144" s="706"/>
    </row>
    <row r="145" spans="1:49" s="708" customFormat="1" x14ac:dyDescent="0.2">
      <c r="A145" s="705"/>
      <c r="B145" s="698" t="s">
        <v>308</v>
      </c>
      <c r="C145" s="699"/>
      <c r="D145" s="699"/>
      <c r="E145" s="699"/>
      <c r="F145" s="699"/>
      <c r="G145" s="699"/>
      <c r="H145" s="699"/>
      <c r="I145" s="699"/>
      <c r="J145" s="699"/>
      <c r="K145" s="699"/>
      <c r="L145" s="699"/>
      <c r="M145" s="699"/>
      <c r="N145" s="699"/>
      <c r="O145" s="699"/>
      <c r="P145" s="699"/>
      <c r="Q145" s="699"/>
      <c r="R145" s="699"/>
      <c r="S145" s="699"/>
      <c r="T145" s="699"/>
      <c r="U145" s="699"/>
      <c r="V145" s="699"/>
      <c r="W145" s="699"/>
      <c r="X145" s="699"/>
      <c r="Y145" s="699"/>
      <c r="Z145" s="699"/>
      <c r="AA145" s="699"/>
      <c r="AB145" s="699"/>
      <c r="AC145" s="700"/>
      <c r="AD145" s="700"/>
      <c r="AE145" s="700">
        <f>+P17/2</f>
        <v>1943116.5604407475</v>
      </c>
      <c r="AF145" s="700">
        <f>+P17</f>
        <v>3886233.1208814951</v>
      </c>
      <c r="AG145" s="700">
        <f t="shared" si="60"/>
        <v>3886233.1208814951</v>
      </c>
      <c r="AH145" s="700">
        <f t="shared" si="60"/>
        <v>3886233.1208814951</v>
      </c>
      <c r="AI145" s="701">
        <f t="shared" si="60"/>
        <v>3886233.1208814951</v>
      </c>
      <c r="AJ145" s="701">
        <f t="shared" si="60"/>
        <v>3886233.1208814951</v>
      </c>
      <c r="AK145" s="701">
        <f t="shared" si="60"/>
        <v>3886233.1208814951</v>
      </c>
      <c r="AL145" s="701">
        <f t="shared" si="60"/>
        <v>3886233.1208814951</v>
      </c>
      <c r="AM145" s="702">
        <f t="shared" si="60"/>
        <v>3886233.1208814951</v>
      </c>
      <c r="AN145" s="703">
        <f t="shared" si="60"/>
        <v>3886233.1208814951</v>
      </c>
      <c r="AO145" s="703">
        <f t="shared" si="61"/>
        <v>3886233.1208814951</v>
      </c>
      <c r="AP145" s="703">
        <f t="shared" si="62"/>
        <v>3886233.1208814951</v>
      </c>
      <c r="AQ145" s="703">
        <f t="shared" si="63"/>
        <v>3886233.1208814951</v>
      </c>
      <c r="AR145" s="703">
        <f t="shared" si="64"/>
        <v>3886233.1208814951</v>
      </c>
      <c r="AS145" s="703">
        <f t="shared" si="65"/>
        <v>3886233.1208814951</v>
      </c>
      <c r="AT145" s="704">
        <f t="shared" si="66"/>
        <v>56350380.252781689</v>
      </c>
      <c r="AU145" s="310"/>
      <c r="AV145" s="310"/>
      <c r="AW145" s="41"/>
    </row>
    <row r="146" spans="1:49" x14ac:dyDescent="0.2">
      <c r="A146" s="705"/>
      <c r="B146" s="698" t="s">
        <v>309</v>
      </c>
      <c r="C146" s="699"/>
      <c r="D146" s="699"/>
      <c r="E146" s="699"/>
      <c r="F146" s="699"/>
      <c r="G146" s="699"/>
      <c r="H146" s="699"/>
      <c r="I146" s="699"/>
      <c r="J146" s="699"/>
      <c r="K146" s="699"/>
      <c r="L146" s="699"/>
      <c r="M146" s="699"/>
      <c r="N146" s="699"/>
      <c r="O146" s="699"/>
      <c r="P146" s="699"/>
      <c r="Q146" s="699"/>
      <c r="R146" s="699"/>
      <c r="S146" s="699"/>
      <c r="T146" s="699"/>
      <c r="U146" s="699"/>
      <c r="V146" s="699"/>
      <c r="W146" s="699"/>
      <c r="X146" s="699"/>
      <c r="Y146" s="699"/>
      <c r="Z146" s="699"/>
      <c r="AA146" s="699"/>
      <c r="AB146" s="699"/>
      <c r="AC146" s="700"/>
      <c r="AD146" s="700"/>
      <c r="AE146" s="700"/>
      <c r="AF146" s="700">
        <f>+Q17/2</f>
        <v>1256108.5</v>
      </c>
      <c r="AG146" s="700">
        <f>+Q17</f>
        <v>2512217</v>
      </c>
      <c r="AH146" s="700">
        <f t="shared" si="60"/>
        <v>2512217</v>
      </c>
      <c r="AI146" s="701">
        <f t="shared" si="60"/>
        <v>2512217</v>
      </c>
      <c r="AJ146" s="701">
        <f t="shared" si="60"/>
        <v>2512217</v>
      </c>
      <c r="AK146" s="701">
        <f t="shared" si="60"/>
        <v>2512217</v>
      </c>
      <c r="AL146" s="701">
        <f t="shared" si="60"/>
        <v>2512217</v>
      </c>
      <c r="AM146" s="702">
        <f t="shared" si="60"/>
        <v>2512217</v>
      </c>
      <c r="AN146" s="703">
        <f t="shared" si="60"/>
        <v>2512217</v>
      </c>
      <c r="AO146" s="703">
        <f t="shared" si="61"/>
        <v>2512217</v>
      </c>
      <c r="AP146" s="703">
        <f t="shared" si="62"/>
        <v>2512217</v>
      </c>
      <c r="AQ146" s="703">
        <f t="shared" si="63"/>
        <v>2512217</v>
      </c>
      <c r="AR146" s="703">
        <f t="shared" si="64"/>
        <v>2512217</v>
      </c>
      <c r="AS146" s="703">
        <f t="shared" si="65"/>
        <v>2512217</v>
      </c>
      <c r="AT146" s="704">
        <f t="shared" si="66"/>
        <v>33914929.5</v>
      </c>
      <c r="AU146" s="310"/>
      <c r="AV146" s="310"/>
      <c r="AW146" s="41"/>
    </row>
    <row r="147" spans="1:49" x14ac:dyDescent="0.2">
      <c r="A147" s="705"/>
      <c r="B147" s="698" t="s">
        <v>310</v>
      </c>
      <c r="C147" s="699"/>
      <c r="D147" s="699"/>
      <c r="E147" s="699"/>
      <c r="F147" s="699"/>
      <c r="G147" s="699"/>
      <c r="H147" s="699"/>
      <c r="I147" s="699"/>
      <c r="J147" s="699"/>
      <c r="K147" s="699"/>
      <c r="L147" s="699"/>
      <c r="M147" s="699"/>
      <c r="N147" s="699"/>
      <c r="O147" s="699"/>
      <c r="P147" s="699"/>
      <c r="Q147" s="699"/>
      <c r="R147" s="699"/>
      <c r="S147" s="699"/>
      <c r="T147" s="699"/>
      <c r="U147" s="699"/>
      <c r="V147" s="699"/>
      <c r="W147" s="699"/>
      <c r="X147" s="699"/>
      <c r="Y147" s="699"/>
      <c r="Z147" s="699"/>
      <c r="AA147" s="699"/>
      <c r="AB147" s="699"/>
      <c r="AC147" s="700"/>
      <c r="AD147" s="700"/>
      <c r="AE147" s="700"/>
      <c r="AF147" s="700"/>
      <c r="AG147" s="700">
        <f>+R17/2</f>
        <v>583056</v>
      </c>
      <c r="AH147" s="700">
        <f>+R17</f>
        <v>1166112</v>
      </c>
      <c r="AI147" s="701">
        <f t="shared" si="60"/>
        <v>1166112</v>
      </c>
      <c r="AJ147" s="701">
        <f t="shared" si="60"/>
        <v>1166112</v>
      </c>
      <c r="AK147" s="701">
        <f t="shared" si="60"/>
        <v>1166112</v>
      </c>
      <c r="AL147" s="701">
        <f t="shared" si="60"/>
        <v>1166112</v>
      </c>
      <c r="AM147" s="702">
        <f t="shared" si="60"/>
        <v>1166112</v>
      </c>
      <c r="AN147" s="703">
        <f t="shared" si="60"/>
        <v>1166112</v>
      </c>
      <c r="AO147" s="703">
        <f t="shared" si="61"/>
        <v>1166112</v>
      </c>
      <c r="AP147" s="703">
        <f t="shared" si="62"/>
        <v>1166112</v>
      </c>
      <c r="AQ147" s="703">
        <f t="shared" si="63"/>
        <v>1166112</v>
      </c>
      <c r="AR147" s="703">
        <f t="shared" si="64"/>
        <v>1166112</v>
      </c>
      <c r="AS147" s="703">
        <f t="shared" si="65"/>
        <v>1166112</v>
      </c>
      <c r="AT147" s="704">
        <f t="shared" si="66"/>
        <v>14576400</v>
      </c>
      <c r="AU147" s="310"/>
      <c r="AV147" s="310"/>
      <c r="AW147" s="41"/>
    </row>
    <row r="148" spans="1:49" ht="12" thickBot="1" x14ac:dyDescent="0.25">
      <c r="A148" s="705"/>
      <c r="B148" s="709" t="s">
        <v>311</v>
      </c>
      <c r="C148" s="710"/>
      <c r="D148" s="710"/>
      <c r="E148" s="710"/>
      <c r="F148" s="710"/>
      <c r="G148" s="710"/>
      <c r="H148" s="710"/>
      <c r="I148" s="710"/>
      <c r="J148" s="710"/>
      <c r="K148" s="710"/>
      <c r="L148" s="710"/>
      <c r="M148" s="710"/>
      <c r="N148" s="710"/>
      <c r="O148" s="710"/>
      <c r="P148" s="710"/>
      <c r="Q148" s="710"/>
      <c r="R148" s="710"/>
      <c r="S148" s="710"/>
      <c r="T148" s="710"/>
      <c r="U148" s="710"/>
      <c r="V148" s="710"/>
      <c r="W148" s="710"/>
      <c r="X148" s="710"/>
      <c r="Y148" s="710"/>
      <c r="Z148" s="710"/>
      <c r="AA148" s="710"/>
      <c r="AB148" s="710"/>
      <c r="AC148" s="711"/>
      <c r="AD148" s="711"/>
      <c r="AE148" s="711"/>
      <c r="AF148" s="711"/>
      <c r="AG148" s="711"/>
      <c r="AH148" s="711">
        <f>+S17/2</f>
        <v>358139</v>
      </c>
      <c r="AI148" s="701">
        <f>+S17</f>
        <v>716278</v>
      </c>
      <c r="AJ148" s="701">
        <f t="shared" si="60"/>
        <v>716278</v>
      </c>
      <c r="AK148" s="701">
        <f t="shared" si="60"/>
        <v>716278</v>
      </c>
      <c r="AL148" s="701">
        <f t="shared" si="60"/>
        <v>716278</v>
      </c>
      <c r="AM148" s="702">
        <f t="shared" si="60"/>
        <v>716278</v>
      </c>
      <c r="AN148" s="712">
        <f t="shared" si="60"/>
        <v>716278</v>
      </c>
      <c r="AO148" s="712">
        <f t="shared" si="61"/>
        <v>716278</v>
      </c>
      <c r="AP148" s="712">
        <f t="shared" si="62"/>
        <v>716278</v>
      </c>
      <c r="AQ148" s="712">
        <f t="shared" si="63"/>
        <v>716278</v>
      </c>
      <c r="AR148" s="712">
        <f t="shared" si="64"/>
        <v>716278</v>
      </c>
      <c r="AS148" s="712">
        <f t="shared" si="65"/>
        <v>716278</v>
      </c>
      <c r="AT148" s="713">
        <f t="shared" si="66"/>
        <v>8237197</v>
      </c>
      <c r="AU148" s="310"/>
      <c r="AV148" s="310"/>
      <c r="AW148" s="41"/>
    </row>
    <row r="149" spans="1:49" x14ac:dyDescent="0.2">
      <c r="A149" s="705"/>
      <c r="B149" s="714" t="s">
        <v>312</v>
      </c>
      <c r="C149" s="715"/>
      <c r="D149" s="715"/>
      <c r="E149" s="715"/>
      <c r="F149" s="715"/>
      <c r="G149" s="715"/>
      <c r="H149" s="715"/>
      <c r="I149" s="715"/>
      <c r="J149" s="715"/>
      <c r="K149" s="715"/>
      <c r="L149" s="715"/>
      <c r="M149" s="715"/>
      <c r="N149" s="715"/>
      <c r="O149" s="715"/>
      <c r="P149" s="715"/>
      <c r="Q149" s="715"/>
      <c r="R149" s="715"/>
      <c r="S149" s="715"/>
      <c r="T149" s="715"/>
      <c r="U149" s="715"/>
      <c r="V149" s="715"/>
      <c r="W149" s="715"/>
      <c r="X149" s="715"/>
      <c r="Y149" s="715"/>
      <c r="Z149" s="715"/>
      <c r="AA149" s="715"/>
      <c r="AB149" s="98">
        <f>+M15/2</f>
        <v>22626656.584206548</v>
      </c>
      <c r="AC149" s="98">
        <f>+M15</f>
        <v>45253313.168413095</v>
      </c>
      <c r="AD149" s="98">
        <f>+AC149</f>
        <v>45253313.168413095</v>
      </c>
      <c r="AE149" s="98">
        <f>+AD149</f>
        <v>45253313.168413095</v>
      </c>
      <c r="AF149" s="98">
        <f>+AE149</f>
        <v>45253313.168413095</v>
      </c>
      <c r="AG149" s="98">
        <f t="shared" si="60"/>
        <v>45253313.168413095</v>
      </c>
      <c r="AH149" s="98">
        <f t="shared" si="60"/>
        <v>45253313.168413095</v>
      </c>
      <c r="AI149" s="99">
        <f t="shared" si="60"/>
        <v>45253313.168413095</v>
      </c>
      <c r="AJ149" s="99">
        <f t="shared" si="60"/>
        <v>45253313.168413095</v>
      </c>
      <c r="AK149" s="99">
        <f t="shared" si="60"/>
        <v>45253313.168413095</v>
      </c>
      <c r="AL149" s="99">
        <f t="shared" si="60"/>
        <v>45253313.168413095</v>
      </c>
      <c r="AM149" s="98">
        <f t="shared" si="60"/>
        <v>45253313.168413095</v>
      </c>
      <c r="AN149" s="100">
        <f t="shared" si="60"/>
        <v>45253313.168413095</v>
      </c>
      <c r="AO149" s="100">
        <f t="shared" si="61"/>
        <v>45253313.168413095</v>
      </c>
      <c r="AP149" s="100">
        <f t="shared" si="62"/>
        <v>45253313.168413095</v>
      </c>
      <c r="AQ149" s="100">
        <f t="shared" si="63"/>
        <v>45253313.168413095</v>
      </c>
      <c r="AR149" s="100">
        <f t="shared" si="64"/>
        <v>45253313.168413095</v>
      </c>
      <c r="AS149" s="100">
        <f t="shared" si="65"/>
        <v>45253313.168413095</v>
      </c>
      <c r="AT149" s="101">
        <f>SUM(W149:AS149)</f>
        <v>791932980.44722891</v>
      </c>
      <c r="AU149" s="310"/>
      <c r="AV149" s="310"/>
      <c r="AW149" s="41"/>
    </row>
    <row r="150" spans="1:49" x14ac:dyDescent="0.2">
      <c r="A150" s="716"/>
      <c r="B150" s="717" t="s">
        <v>313</v>
      </c>
      <c r="C150" s="718"/>
      <c r="D150" s="718"/>
      <c r="E150" s="718"/>
      <c r="F150" s="718"/>
      <c r="G150" s="718"/>
      <c r="H150" s="718"/>
      <c r="I150" s="718"/>
      <c r="J150" s="718"/>
      <c r="K150" s="718"/>
      <c r="L150" s="718"/>
      <c r="M150" s="718"/>
      <c r="N150" s="718"/>
      <c r="O150" s="718"/>
      <c r="P150" s="718"/>
      <c r="Q150" s="718"/>
      <c r="R150" s="718"/>
      <c r="S150" s="718"/>
      <c r="T150" s="718"/>
      <c r="U150" s="718"/>
      <c r="V150" s="718"/>
      <c r="W150" s="718"/>
      <c r="X150" s="718"/>
      <c r="Y150" s="718"/>
      <c r="Z150" s="718"/>
      <c r="AA150" s="718"/>
      <c r="AB150" s="719"/>
      <c r="AC150" s="102">
        <f>+N15/2</f>
        <v>6818645.3494652696</v>
      </c>
      <c r="AD150" s="102">
        <f>+N15</f>
        <v>13637290.698930539</v>
      </c>
      <c r="AE150" s="102">
        <f>+N15</f>
        <v>13637290.698930539</v>
      </c>
      <c r="AF150" s="102">
        <f>+AE150</f>
        <v>13637290.698930539</v>
      </c>
      <c r="AG150" s="102">
        <f t="shared" si="60"/>
        <v>13637290.698930539</v>
      </c>
      <c r="AH150" s="102">
        <f t="shared" si="60"/>
        <v>13637290.698930539</v>
      </c>
      <c r="AI150" s="103">
        <f>+AH150</f>
        <v>13637290.698930539</v>
      </c>
      <c r="AJ150" s="103">
        <f t="shared" si="60"/>
        <v>13637290.698930539</v>
      </c>
      <c r="AK150" s="103">
        <f t="shared" si="60"/>
        <v>13637290.698930539</v>
      </c>
      <c r="AL150" s="103">
        <f t="shared" si="60"/>
        <v>13637290.698930539</v>
      </c>
      <c r="AM150" s="102">
        <f t="shared" si="60"/>
        <v>13637290.698930539</v>
      </c>
      <c r="AN150" s="104">
        <f t="shared" si="60"/>
        <v>13637290.698930539</v>
      </c>
      <c r="AO150" s="104">
        <f t="shared" si="61"/>
        <v>13637290.698930539</v>
      </c>
      <c r="AP150" s="104">
        <f t="shared" si="62"/>
        <v>13637290.698930539</v>
      </c>
      <c r="AQ150" s="104">
        <f t="shared" si="63"/>
        <v>13637290.698930539</v>
      </c>
      <c r="AR150" s="104">
        <f t="shared" si="64"/>
        <v>13637290.698930539</v>
      </c>
      <c r="AS150" s="104">
        <f t="shared" si="65"/>
        <v>13637290.698930539</v>
      </c>
      <c r="AT150" s="105">
        <f t="shared" ref="AT150:AT154" si="67">SUM(W150:AS150)</f>
        <v>225015296.53235382</v>
      </c>
      <c r="AU150" s="310"/>
      <c r="AV150" s="310"/>
    </row>
    <row r="151" spans="1:49" x14ac:dyDescent="0.2">
      <c r="A151" s="716"/>
      <c r="B151" s="717" t="s">
        <v>314</v>
      </c>
      <c r="C151" s="642"/>
      <c r="D151" s="642"/>
      <c r="E151" s="642"/>
      <c r="F151" s="642"/>
      <c r="G151" s="642"/>
      <c r="H151" s="642"/>
      <c r="I151" s="642"/>
      <c r="J151" s="642"/>
      <c r="K151" s="642"/>
      <c r="L151" s="642"/>
      <c r="M151" s="642"/>
      <c r="N151" s="642"/>
      <c r="O151" s="642"/>
      <c r="P151" s="642"/>
      <c r="Q151" s="642"/>
      <c r="R151" s="642"/>
      <c r="S151" s="642"/>
      <c r="T151" s="642"/>
      <c r="U151" s="642"/>
      <c r="V151" s="642"/>
      <c r="W151" s="642"/>
      <c r="X151" s="642"/>
      <c r="Y151" s="642"/>
      <c r="Z151" s="642"/>
      <c r="AA151" s="642"/>
      <c r="AB151" s="720"/>
      <c r="AC151" s="720"/>
      <c r="AD151" s="102">
        <f>+O15/2</f>
        <v>690833.96348709089</v>
      </c>
      <c r="AE151" s="102">
        <f>+O15</f>
        <v>1381667.9269741818</v>
      </c>
      <c r="AF151" s="102">
        <f>+AE151</f>
        <v>1381667.9269741818</v>
      </c>
      <c r="AG151" s="102">
        <f t="shared" si="60"/>
        <v>1381667.9269741818</v>
      </c>
      <c r="AH151" s="102">
        <f t="shared" si="60"/>
        <v>1381667.9269741818</v>
      </c>
      <c r="AI151" s="103">
        <f t="shared" si="60"/>
        <v>1381667.9269741818</v>
      </c>
      <c r="AJ151" s="103">
        <f t="shared" si="60"/>
        <v>1381667.9269741818</v>
      </c>
      <c r="AK151" s="103">
        <f t="shared" si="60"/>
        <v>1381667.9269741818</v>
      </c>
      <c r="AL151" s="103">
        <f t="shared" si="60"/>
        <v>1381667.9269741818</v>
      </c>
      <c r="AM151" s="102">
        <f t="shared" si="60"/>
        <v>1381667.9269741818</v>
      </c>
      <c r="AN151" s="104">
        <f t="shared" si="60"/>
        <v>1381667.9269741818</v>
      </c>
      <c r="AO151" s="104">
        <f t="shared" si="61"/>
        <v>1381667.9269741818</v>
      </c>
      <c r="AP151" s="104">
        <f t="shared" si="62"/>
        <v>1381667.9269741818</v>
      </c>
      <c r="AQ151" s="104">
        <f t="shared" si="63"/>
        <v>1381667.9269741818</v>
      </c>
      <c r="AR151" s="104">
        <f t="shared" si="64"/>
        <v>1381667.9269741818</v>
      </c>
      <c r="AS151" s="104">
        <f t="shared" si="65"/>
        <v>1381667.9269741818</v>
      </c>
      <c r="AT151" s="105">
        <f t="shared" si="67"/>
        <v>21415852.868099812</v>
      </c>
      <c r="AU151" s="310"/>
      <c r="AV151" s="310"/>
    </row>
    <row r="152" spans="1:49" x14ac:dyDescent="0.2">
      <c r="A152" s="716"/>
      <c r="B152" s="717" t="s">
        <v>315</v>
      </c>
      <c r="C152" s="642"/>
      <c r="D152" s="642"/>
      <c r="E152" s="642"/>
      <c r="F152" s="642"/>
      <c r="G152" s="642"/>
      <c r="H152" s="642"/>
      <c r="I152" s="642"/>
      <c r="J152" s="642"/>
      <c r="K152" s="642"/>
      <c r="L152" s="642"/>
      <c r="M152" s="642"/>
      <c r="N152" s="642"/>
      <c r="O152" s="642"/>
      <c r="P152" s="642"/>
      <c r="Q152" s="642"/>
      <c r="R152" s="642"/>
      <c r="S152" s="642"/>
      <c r="T152" s="642"/>
      <c r="U152" s="642"/>
      <c r="V152" s="642"/>
      <c r="W152" s="642"/>
      <c r="X152" s="642"/>
      <c r="Y152" s="642"/>
      <c r="Z152" s="642"/>
      <c r="AA152" s="642"/>
      <c r="AB152" s="720"/>
      <c r="AC152" s="720"/>
      <c r="AD152" s="720"/>
      <c r="AE152" s="102">
        <f>+P15/2</f>
        <v>285891.75758885167</v>
      </c>
      <c r="AF152" s="102">
        <f>+P15</f>
        <v>571783.51517770335</v>
      </c>
      <c r="AG152" s="102">
        <f t="shared" si="60"/>
        <v>571783.51517770335</v>
      </c>
      <c r="AH152" s="102">
        <f t="shared" si="60"/>
        <v>571783.51517770335</v>
      </c>
      <c r="AI152" s="103">
        <f t="shared" si="60"/>
        <v>571783.51517770335</v>
      </c>
      <c r="AJ152" s="103">
        <f t="shared" si="60"/>
        <v>571783.51517770335</v>
      </c>
      <c r="AK152" s="103">
        <f t="shared" si="60"/>
        <v>571783.51517770335</v>
      </c>
      <c r="AL152" s="103">
        <f t="shared" si="60"/>
        <v>571783.51517770335</v>
      </c>
      <c r="AM152" s="102">
        <f t="shared" si="60"/>
        <v>571783.51517770335</v>
      </c>
      <c r="AN152" s="104">
        <f t="shared" si="60"/>
        <v>571783.51517770335</v>
      </c>
      <c r="AO152" s="104">
        <f t="shared" si="61"/>
        <v>571783.51517770335</v>
      </c>
      <c r="AP152" s="104">
        <f t="shared" si="62"/>
        <v>571783.51517770335</v>
      </c>
      <c r="AQ152" s="104">
        <f t="shared" si="63"/>
        <v>571783.51517770335</v>
      </c>
      <c r="AR152" s="104">
        <f t="shared" si="64"/>
        <v>571783.51517770335</v>
      </c>
      <c r="AS152" s="104">
        <f t="shared" si="65"/>
        <v>571783.51517770335</v>
      </c>
      <c r="AT152" s="105">
        <f t="shared" si="67"/>
        <v>8290860.9700766997</v>
      </c>
      <c r="AU152" s="310"/>
      <c r="AV152" s="310"/>
    </row>
    <row r="153" spans="1:49" x14ac:dyDescent="0.2">
      <c r="A153" s="716"/>
      <c r="B153" s="717" t="s">
        <v>316</v>
      </c>
      <c r="C153" s="642"/>
      <c r="D153" s="642"/>
      <c r="E153" s="642"/>
      <c r="F153" s="642"/>
      <c r="G153" s="642"/>
      <c r="H153" s="642"/>
      <c r="I153" s="642"/>
      <c r="J153" s="642"/>
      <c r="K153" s="642"/>
      <c r="L153" s="642"/>
      <c r="M153" s="642"/>
      <c r="N153" s="642"/>
      <c r="O153" s="642"/>
      <c r="P153" s="642"/>
      <c r="Q153" s="642"/>
      <c r="R153" s="642"/>
      <c r="S153" s="642"/>
      <c r="T153" s="642"/>
      <c r="U153" s="642"/>
      <c r="V153" s="642"/>
      <c r="W153" s="642"/>
      <c r="X153" s="642"/>
      <c r="Y153" s="642"/>
      <c r="Z153" s="642"/>
      <c r="AA153" s="642"/>
      <c r="AB153" s="720"/>
      <c r="AC153" s="720"/>
      <c r="AD153" s="720"/>
      <c r="AE153" s="721"/>
      <c r="AF153" s="102">
        <f>+Q15/2</f>
        <v>111447</v>
      </c>
      <c r="AG153" s="102">
        <f>+Q15</f>
        <v>222894</v>
      </c>
      <c r="AH153" s="102">
        <f t="shared" si="60"/>
        <v>222894</v>
      </c>
      <c r="AI153" s="103">
        <f t="shared" si="60"/>
        <v>222894</v>
      </c>
      <c r="AJ153" s="103">
        <f t="shared" si="60"/>
        <v>222894</v>
      </c>
      <c r="AK153" s="103">
        <f t="shared" si="60"/>
        <v>222894</v>
      </c>
      <c r="AL153" s="103">
        <f t="shared" si="60"/>
        <v>222894</v>
      </c>
      <c r="AM153" s="102">
        <f t="shared" si="60"/>
        <v>222894</v>
      </c>
      <c r="AN153" s="104">
        <f t="shared" si="60"/>
        <v>222894</v>
      </c>
      <c r="AO153" s="104">
        <f t="shared" si="61"/>
        <v>222894</v>
      </c>
      <c r="AP153" s="104">
        <f t="shared" si="62"/>
        <v>222894</v>
      </c>
      <c r="AQ153" s="104">
        <f t="shared" si="63"/>
        <v>222894</v>
      </c>
      <c r="AR153" s="104">
        <f t="shared" si="64"/>
        <v>222894</v>
      </c>
      <c r="AS153" s="104">
        <f t="shared" si="65"/>
        <v>222894</v>
      </c>
      <c r="AT153" s="105">
        <f t="shared" si="67"/>
        <v>3009069</v>
      </c>
      <c r="AU153" s="310"/>
      <c r="AV153" s="310"/>
    </row>
    <row r="154" spans="1:49" ht="12" thickBot="1" x14ac:dyDescent="0.25">
      <c r="B154" s="722" t="s">
        <v>317</v>
      </c>
      <c r="C154" s="723"/>
      <c r="D154" s="723"/>
      <c r="E154" s="723"/>
      <c r="F154" s="723"/>
      <c r="G154" s="723"/>
      <c r="H154" s="723"/>
      <c r="I154" s="723"/>
      <c r="J154" s="723"/>
      <c r="K154" s="723"/>
      <c r="L154" s="723"/>
      <c r="M154" s="723"/>
      <c r="N154" s="723"/>
      <c r="O154" s="723"/>
      <c r="P154" s="723"/>
      <c r="Q154" s="723"/>
      <c r="R154" s="723"/>
      <c r="S154" s="723"/>
      <c r="T154" s="723"/>
      <c r="U154" s="723"/>
      <c r="V154" s="723"/>
      <c r="W154" s="723"/>
      <c r="X154" s="723"/>
      <c r="Y154" s="723"/>
      <c r="Z154" s="723"/>
      <c r="AA154" s="723"/>
      <c r="AB154" s="724"/>
      <c r="AC154" s="724"/>
      <c r="AD154" s="724"/>
      <c r="AE154" s="725"/>
      <c r="AF154" s="106"/>
      <c r="AG154" s="106">
        <f>+R15/2</f>
        <v>28038.287803828782</v>
      </c>
      <c r="AH154" s="106">
        <f>+R15</f>
        <v>56076.575607657564</v>
      </c>
      <c r="AI154" s="107">
        <f>+AH154</f>
        <v>56076.575607657564</v>
      </c>
      <c r="AJ154" s="107">
        <f t="shared" si="60"/>
        <v>56076.575607657564</v>
      </c>
      <c r="AK154" s="107">
        <f t="shared" si="60"/>
        <v>56076.575607657564</v>
      </c>
      <c r="AL154" s="107">
        <f t="shared" si="60"/>
        <v>56076.575607657564</v>
      </c>
      <c r="AM154" s="106">
        <f t="shared" si="60"/>
        <v>56076.575607657564</v>
      </c>
      <c r="AN154" s="108">
        <f t="shared" si="60"/>
        <v>56076.575607657564</v>
      </c>
      <c r="AO154" s="108">
        <f t="shared" si="61"/>
        <v>56076.575607657564</v>
      </c>
      <c r="AP154" s="108">
        <f t="shared" si="62"/>
        <v>56076.575607657564</v>
      </c>
      <c r="AQ154" s="108">
        <f t="shared" si="63"/>
        <v>56076.575607657564</v>
      </c>
      <c r="AR154" s="108">
        <f t="shared" si="64"/>
        <v>56076.575607657564</v>
      </c>
      <c r="AS154" s="108">
        <f t="shared" si="65"/>
        <v>56076.575607657564</v>
      </c>
      <c r="AT154" s="109">
        <f t="shared" si="67"/>
        <v>700957.19509571942</v>
      </c>
      <c r="AU154" s="310"/>
      <c r="AV154" s="310"/>
    </row>
    <row r="155" spans="1:49" x14ac:dyDescent="0.2">
      <c r="B155" s="726" t="s">
        <v>318</v>
      </c>
      <c r="C155" s="727"/>
      <c r="D155" s="727"/>
      <c r="E155" s="727"/>
      <c r="F155" s="727"/>
      <c r="G155" s="727"/>
      <c r="H155" s="727"/>
      <c r="I155" s="727"/>
      <c r="J155" s="727"/>
      <c r="K155" s="727"/>
      <c r="L155" s="727"/>
      <c r="M155" s="727"/>
      <c r="N155" s="727"/>
      <c r="O155" s="727"/>
      <c r="P155" s="727"/>
      <c r="Q155" s="727"/>
      <c r="R155" s="727"/>
      <c r="S155" s="727"/>
      <c r="T155" s="727"/>
      <c r="U155" s="727"/>
      <c r="V155" s="727"/>
      <c r="W155" s="728">
        <f>+C8/2</f>
        <v>133547.58561088907</v>
      </c>
      <c r="X155" s="728">
        <f>+C8</f>
        <v>267095.17122177815</v>
      </c>
      <c r="Y155" s="728">
        <f t="shared" ref="Y155:AI165" si="68">+X155</f>
        <v>267095.17122177815</v>
      </c>
      <c r="Z155" s="728">
        <f t="shared" si="68"/>
        <v>267095.17122177815</v>
      </c>
      <c r="AA155" s="728">
        <f t="shared" si="68"/>
        <v>267095.17122177815</v>
      </c>
      <c r="AB155" s="728">
        <f t="shared" si="68"/>
        <v>267095.17122177815</v>
      </c>
      <c r="AC155" s="728">
        <f t="shared" si="68"/>
        <v>267095.17122177815</v>
      </c>
      <c r="AD155" s="728">
        <f t="shared" si="68"/>
        <v>267095.17122177815</v>
      </c>
      <c r="AE155" s="728">
        <f t="shared" si="68"/>
        <v>267095.17122177815</v>
      </c>
      <c r="AF155" s="728">
        <f t="shared" si="68"/>
        <v>267095.17122177815</v>
      </c>
      <c r="AG155" s="728">
        <f t="shared" si="68"/>
        <v>267095.17122177815</v>
      </c>
      <c r="AH155" s="728">
        <f t="shared" si="68"/>
        <v>267095.17122177815</v>
      </c>
      <c r="AI155" s="729">
        <f>+AH155</f>
        <v>267095.17122177815</v>
      </c>
      <c r="AJ155" s="729">
        <f>+AI155</f>
        <v>267095.17122177815</v>
      </c>
      <c r="AK155" s="729">
        <f>+AJ155</f>
        <v>267095.17122177815</v>
      </c>
      <c r="AL155" s="729">
        <f>+AK155</f>
        <v>267095.17122177815</v>
      </c>
      <c r="AM155" s="728">
        <f>+AL155</f>
        <v>267095.17122177815</v>
      </c>
      <c r="AN155" s="730">
        <f>+AM155</f>
        <v>267095.17122177815</v>
      </c>
      <c r="AO155" s="730">
        <f t="shared" si="61"/>
        <v>267095.17122177815</v>
      </c>
      <c r="AP155" s="730">
        <f t="shared" si="62"/>
        <v>267095.17122177815</v>
      </c>
      <c r="AQ155" s="730">
        <f t="shared" si="63"/>
        <v>267095.17122177815</v>
      </c>
      <c r="AR155" s="730">
        <f t="shared" si="64"/>
        <v>267095.17122177815</v>
      </c>
      <c r="AS155" s="730">
        <f t="shared" si="65"/>
        <v>267095.17122177815</v>
      </c>
      <c r="AT155" s="731">
        <f>SUM(W155:AS155)</f>
        <v>6009641.3524900069</v>
      </c>
      <c r="AU155" s="310"/>
      <c r="AV155" s="310"/>
    </row>
    <row r="156" spans="1:49" x14ac:dyDescent="0.2">
      <c r="B156" s="732" t="s">
        <v>319</v>
      </c>
      <c r="C156" s="733"/>
      <c r="D156" s="733"/>
      <c r="E156" s="733"/>
      <c r="F156" s="733"/>
      <c r="G156" s="733"/>
      <c r="H156" s="733"/>
      <c r="I156" s="733"/>
      <c r="J156" s="733"/>
      <c r="K156" s="733"/>
      <c r="L156" s="733"/>
      <c r="M156" s="733"/>
      <c r="N156" s="733"/>
      <c r="O156" s="733"/>
      <c r="P156" s="733"/>
      <c r="Q156" s="733"/>
      <c r="R156" s="733"/>
      <c r="S156" s="733"/>
      <c r="T156" s="733"/>
      <c r="U156" s="733"/>
      <c r="V156" s="733"/>
      <c r="W156" s="734"/>
      <c r="X156" s="734">
        <f>+D8/2</f>
        <v>5413335.853948364</v>
      </c>
      <c r="Y156" s="734">
        <f>+D8</f>
        <v>10826671.707896728</v>
      </c>
      <c r="Z156" s="734">
        <f>+Y156</f>
        <v>10826671.707896728</v>
      </c>
      <c r="AA156" s="734">
        <f t="shared" si="68"/>
        <v>10826671.707896728</v>
      </c>
      <c r="AB156" s="734">
        <f t="shared" si="68"/>
        <v>10826671.707896728</v>
      </c>
      <c r="AC156" s="734">
        <f t="shared" si="68"/>
        <v>10826671.707896728</v>
      </c>
      <c r="AD156" s="734">
        <f t="shared" si="68"/>
        <v>10826671.707896728</v>
      </c>
      <c r="AE156" s="734">
        <f t="shared" si="68"/>
        <v>10826671.707896728</v>
      </c>
      <c r="AF156" s="734">
        <f t="shared" si="68"/>
        <v>10826671.707896728</v>
      </c>
      <c r="AG156" s="734">
        <f t="shared" si="68"/>
        <v>10826671.707896728</v>
      </c>
      <c r="AH156" s="734">
        <f t="shared" si="68"/>
        <v>10826671.707896728</v>
      </c>
      <c r="AI156" s="735">
        <f>+AH156</f>
        <v>10826671.707896728</v>
      </c>
      <c r="AJ156" s="735">
        <f t="shared" ref="AJ156:AN167" si="69">+AI156</f>
        <v>10826671.707896728</v>
      </c>
      <c r="AK156" s="735">
        <f>+AJ156</f>
        <v>10826671.707896728</v>
      </c>
      <c r="AL156" s="735">
        <f>+AK156</f>
        <v>10826671.707896728</v>
      </c>
      <c r="AM156" s="734">
        <f>+AL156</f>
        <v>10826671.707896728</v>
      </c>
      <c r="AN156" s="736">
        <f>+AM156</f>
        <v>10826671.707896728</v>
      </c>
      <c r="AO156" s="736">
        <f t="shared" si="61"/>
        <v>10826671.707896728</v>
      </c>
      <c r="AP156" s="736">
        <f t="shared" si="62"/>
        <v>10826671.707896728</v>
      </c>
      <c r="AQ156" s="736">
        <f t="shared" si="63"/>
        <v>10826671.707896728</v>
      </c>
      <c r="AR156" s="736">
        <f t="shared" si="64"/>
        <v>10826671.707896728</v>
      </c>
      <c r="AS156" s="736">
        <f t="shared" si="65"/>
        <v>10826671.707896728</v>
      </c>
      <c r="AT156" s="737">
        <f t="shared" ref="AT156:AT177" si="70">SUM(W156:AS156)</f>
        <v>232773441.71977973</v>
      </c>
      <c r="AU156" s="310"/>
      <c r="AV156" s="310"/>
    </row>
    <row r="157" spans="1:49" x14ac:dyDescent="0.2">
      <c r="B157" s="732" t="s">
        <v>320</v>
      </c>
      <c r="C157" s="733"/>
      <c r="D157" s="733"/>
      <c r="E157" s="733"/>
      <c r="F157" s="733"/>
      <c r="G157" s="733"/>
      <c r="H157" s="733"/>
      <c r="I157" s="733"/>
      <c r="J157" s="733"/>
      <c r="K157" s="733"/>
      <c r="L157" s="733"/>
      <c r="M157" s="733"/>
      <c r="N157" s="733"/>
      <c r="O157" s="733"/>
      <c r="P157" s="733"/>
      <c r="Q157" s="733"/>
      <c r="R157" s="733"/>
      <c r="S157" s="733"/>
      <c r="T157" s="733"/>
      <c r="U157" s="733"/>
      <c r="V157" s="733"/>
      <c r="W157" s="734"/>
      <c r="X157" s="734"/>
      <c r="Y157" s="734">
        <f>+E8/2</f>
        <v>7376174.7866479419</v>
      </c>
      <c r="Z157" s="734">
        <f>+E8</f>
        <v>14752349.573295884</v>
      </c>
      <c r="AA157" s="734">
        <f t="shared" si="68"/>
        <v>14752349.573295884</v>
      </c>
      <c r="AB157" s="734">
        <f t="shared" si="68"/>
        <v>14752349.573295884</v>
      </c>
      <c r="AC157" s="734">
        <f t="shared" si="68"/>
        <v>14752349.573295884</v>
      </c>
      <c r="AD157" s="734">
        <f t="shared" si="68"/>
        <v>14752349.573295884</v>
      </c>
      <c r="AE157" s="734">
        <f t="shared" si="68"/>
        <v>14752349.573295884</v>
      </c>
      <c r="AF157" s="734">
        <f t="shared" si="68"/>
        <v>14752349.573295884</v>
      </c>
      <c r="AG157" s="734">
        <f t="shared" si="68"/>
        <v>14752349.573295884</v>
      </c>
      <c r="AH157" s="734">
        <f t="shared" si="68"/>
        <v>14752349.573295884</v>
      </c>
      <c r="AI157" s="735">
        <f t="shared" si="68"/>
        <v>14752349.573295884</v>
      </c>
      <c r="AJ157" s="735">
        <f t="shared" si="69"/>
        <v>14752349.573295884</v>
      </c>
      <c r="AK157" s="735">
        <f t="shared" si="69"/>
        <v>14752349.573295884</v>
      </c>
      <c r="AL157" s="735">
        <f t="shared" si="69"/>
        <v>14752349.573295884</v>
      </c>
      <c r="AM157" s="734">
        <f t="shared" si="69"/>
        <v>14752349.573295884</v>
      </c>
      <c r="AN157" s="736">
        <f t="shared" si="69"/>
        <v>14752349.573295884</v>
      </c>
      <c r="AO157" s="736">
        <f t="shared" si="61"/>
        <v>14752349.573295884</v>
      </c>
      <c r="AP157" s="736">
        <f t="shared" si="62"/>
        <v>14752349.573295884</v>
      </c>
      <c r="AQ157" s="736">
        <f t="shared" si="63"/>
        <v>14752349.573295884</v>
      </c>
      <c r="AR157" s="736">
        <f t="shared" si="64"/>
        <v>14752349.573295884</v>
      </c>
      <c r="AS157" s="736">
        <f t="shared" si="65"/>
        <v>14752349.573295884</v>
      </c>
      <c r="AT157" s="737">
        <f t="shared" si="70"/>
        <v>302423166.25256574</v>
      </c>
      <c r="AU157" s="310"/>
      <c r="AV157" s="310"/>
    </row>
    <row r="158" spans="1:49" x14ac:dyDescent="0.2">
      <c r="B158" s="732" t="s">
        <v>321</v>
      </c>
      <c r="C158" s="733"/>
      <c r="D158" s="733"/>
      <c r="E158" s="733"/>
      <c r="F158" s="733"/>
      <c r="G158" s="733"/>
      <c r="H158" s="733"/>
      <c r="I158" s="733"/>
      <c r="J158" s="733"/>
      <c r="K158" s="733"/>
      <c r="L158" s="733"/>
      <c r="M158" s="733"/>
      <c r="N158" s="733"/>
      <c r="O158" s="733"/>
      <c r="P158" s="733"/>
      <c r="Q158" s="733"/>
      <c r="R158" s="733"/>
      <c r="S158" s="733"/>
      <c r="T158" s="733"/>
      <c r="U158" s="733"/>
      <c r="V158" s="733"/>
      <c r="W158" s="734"/>
      <c r="X158" s="734"/>
      <c r="Y158" s="642"/>
      <c r="Z158" s="734">
        <f>+F8/2</f>
        <v>17091297.396564763</v>
      </c>
      <c r="AA158" s="734">
        <f>+F8</f>
        <v>34182594.793129526</v>
      </c>
      <c r="AB158" s="734">
        <f t="shared" si="68"/>
        <v>34182594.793129526</v>
      </c>
      <c r="AC158" s="734">
        <f t="shared" si="68"/>
        <v>34182594.793129526</v>
      </c>
      <c r="AD158" s="734">
        <f t="shared" si="68"/>
        <v>34182594.793129526</v>
      </c>
      <c r="AE158" s="734">
        <f t="shared" si="68"/>
        <v>34182594.793129526</v>
      </c>
      <c r="AF158" s="734">
        <f t="shared" si="68"/>
        <v>34182594.793129526</v>
      </c>
      <c r="AG158" s="734">
        <f t="shared" si="68"/>
        <v>34182594.793129526</v>
      </c>
      <c r="AH158" s="734">
        <f t="shared" si="68"/>
        <v>34182594.793129526</v>
      </c>
      <c r="AI158" s="735">
        <f t="shared" si="68"/>
        <v>34182594.793129526</v>
      </c>
      <c r="AJ158" s="735">
        <f t="shared" si="69"/>
        <v>34182594.793129526</v>
      </c>
      <c r="AK158" s="735">
        <f t="shared" si="69"/>
        <v>34182594.793129526</v>
      </c>
      <c r="AL158" s="735">
        <f t="shared" si="69"/>
        <v>34182594.793129526</v>
      </c>
      <c r="AM158" s="734">
        <f t="shared" si="69"/>
        <v>34182594.793129526</v>
      </c>
      <c r="AN158" s="736">
        <f t="shared" si="69"/>
        <v>34182594.793129526</v>
      </c>
      <c r="AO158" s="736">
        <f t="shared" si="61"/>
        <v>34182594.793129526</v>
      </c>
      <c r="AP158" s="736">
        <f t="shared" si="62"/>
        <v>34182594.793129526</v>
      </c>
      <c r="AQ158" s="736">
        <f t="shared" si="63"/>
        <v>34182594.793129526</v>
      </c>
      <c r="AR158" s="736">
        <f t="shared" si="64"/>
        <v>34182594.793129526</v>
      </c>
      <c r="AS158" s="736">
        <f t="shared" si="65"/>
        <v>34182594.793129526</v>
      </c>
      <c r="AT158" s="737">
        <f t="shared" si="70"/>
        <v>666560598.46602571</v>
      </c>
      <c r="AU158" s="310"/>
      <c r="AV158" s="310"/>
    </row>
    <row r="159" spans="1:49" x14ac:dyDescent="0.2">
      <c r="B159" s="732" t="s">
        <v>322</v>
      </c>
      <c r="C159" s="642"/>
      <c r="D159" s="642"/>
      <c r="E159" s="642"/>
      <c r="F159" s="642"/>
      <c r="G159" s="642"/>
      <c r="H159" s="642"/>
      <c r="I159" s="642"/>
      <c r="J159" s="642"/>
      <c r="K159" s="642"/>
      <c r="L159" s="642"/>
      <c r="M159" s="642"/>
      <c r="N159" s="642"/>
      <c r="O159" s="642"/>
      <c r="P159" s="642"/>
      <c r="Q159" s="642"/>
      <c r="R159" s="642"/>
      <c r="S159" s="642"/>
      <c r="T159" s="642"/>
      <c r="U159" s="642"/>
      <c r="V159" s="642"/>
      <c r="W159" s="642"/>
      <c r="X159" s="642"/>
      <c r="Y159" s="642"/>
      <c r="Z159" s="642"/>
      <c r="AA159" s="734">
        <f>+G8/2</f>
        <v>22749992.43815491</v>
      </c>
      <c r="AB159" s="734">
        <f>+G8</f>
        <v>45499984.87630982</v>
      </c>
      <c r="AC159" s="734">
        <f t="shared" si="68"/>
        <v>45499984.87630982</v>
      </c>
      <c r="AD159" s="734">
        <f t="shared" si="68"/>
        <v>45499984.87630982</v>
      </c>
      <c r="AE159" s="734">
        <f t="shared" si="68"/>
        <v>45499984.87630982</v>
      </c>
      <c r="AF159" s="734">
        <f t="shared" si="68"/>
        <v>45499984.87630982</v>
      </c>
      <c r="AG159" s="734">
        <f t="shared" si="68"/>
        <v>45499984.87630982</v>
      </c>
      <c r="AH159" s="734">
        <f t="shared" si="68"/>
        <v>45499984.87630982</v>
      </c>
      <c r="AI159" s="735">
        <f t="shared" si="68"/>
        <v>45499984.87630982</v>
      </c>
      <c r="AJ159" s="735">
        <f t="shared" si="69"/>
        <v>45499984.87630982</v>
      </c>
      <c r="AK159" s="735">
        <f t="shared" si="69"/>
        <v>45499984.87630982</v>
      </c>
      <c r="AL159" s="735">
        <f t="shared" si="69"/>
        <v>45499984.87630982</v>
      </c>
      <c r="AM159" s="734">
        <f t="shared" si="69"/>
        <v>45499984.87630982</v>
      </c>
      <c r="AN159" s="736">
        <f t="shared" si="69"/>
        <v>45499984.87630982</v>
      </c>
      <c r="AO159" s="736">
        <f t="shared" si="61"/>
        <v>45499984.87630982</v>
      </c>
      <c r="AP159" s="736">
        <f t="shared" si="62"/>
        <v>45499984.87630982</v>
      </c>
      <c r="AQ159" s="736">
        <f t="shared" si="63"/>
        <v>45499984.87630982</v>
      </c>
      <c r="AR159" s="736">
        <f t="shared" si="64"/>
        <v>45499984.87630982</v>
      </c>
      <c r="AS159" s="736">
        <f t="shared" si="65"/>
        <v>45499984.87630982</v>
      </c>
      <c r="AT159" s="737">
        <f t="shared" si="70"/>
        <v>841749720.21173191</v>
      </c>
      <c r="AU159" s="310"/>
      <c r="AV159" s="310"/>
    </row>
    <row r="160" spans="1:49" x14ac:dyDescent="0.2">
      <c r="B160" s="732" t="s">
        <v>323</v>
      </c>
      <c r="C160" s="642"/>
      <c r="D160" s="642"/>
      <c r="E160" s="642"/>
      <c r="F160" s="642"/>
      <c r="G160" s="642"/>
      <c r="H160" s="642"/>
      <c r="I160" s="642"/>
      <c r="J160" s="642"/>
      <c r="K160" s="642"/>
      <c r="L160" s="642"/>
      <c r="M160" s="642"/>
      <c r="N160" s="642"/>
      <c r="O160" s="642"/>
      <c r="P160" s="642"/>
      <c r="Q160" s="642"/>
      <c r="R160" s="642"/>
      <c r="S160" s="642"/>
      <c r="T160" s="642"/>
      <c r="U160" s="642"/>
      <c r="V160" s="642"/>
      <c r="W160" s="642"/>
      <c r="X160" s="642"/>
      <c r="Y160" s="642"/>
      <c r="Z160" s="642"/>
      <c r="AA160" s="734"/>
      <c r="AB160" s="734">
        <f>+H8/2</f>
        <v>21927997.191314682</v>
      </c>
      <c r="AC160" s="734">
        <f>+H8</f>
        <v>43855994.382629365</v>
      </c>
      <c r="AD160" s="734">
        <f t="shared" si="68"/>
        <v>43855994.382629365</v>
      </c>
      <c r="AE160" s="734">
        <f t="shared" si="68"/>
        <v>43855994.382629365</v>
      </c>
      <c r="AF160" s="734">
        <f t="shared" si="68"/>
        <v>43855994.382629365</v>
      </c>
      <c r="AG160" s="734">
        <f t="shared" si="68"/>
        <v>43855994.382629365</v>
      </c>
      <c r="AH160" s="734">
        <f t="shared" si="68"/>
        <v>43855994.382629365</v>
      </c>
      <c r="AI160" s="735">
        <f t="shared" si="68"/>
        <v>43855994.382629365</v>
      </c>
      <c r="AJ160" s="735">
        <f t="shared" si="69"/>
        <v>43855994.382629365</v>
      </c>
      <c r="AK160" s="735">
        <f t="shared" si="69"/>
        <v>43855994.382629365</v>
      </c>
      <c r="AL160" s="735">
        <f t="shared" si="69"/>
        <v>43855994.382629365</v>
      </c>
      <c r="AM160" s="734">
        <f t="shared" si="69"/>
        <v>43855994.382629365</v>
      </c>
      <c r="AN160" s="736">
        <f t="shared" si="69"/>
        <v>43855994.382629365</v>
      </c>
      <c r="AO160" s="736">
        <f t="shared" si="61"/>
        <v>43855994.382629365</v>
      </c>
      <c r="AP160" s="736">
        <f t="shared" si="62"/>
        <v>43855994.382629365</v>
      </c>
      <c r="AQ160" s="736">
        <f t="shared" si="63"/>
        <v>43855994.382629365</v>
      </c>
      <c r="AR160" s="736">
        <f t="shared" si="64"/>
        <v>43855994.382629365</v>
      </c>
      <c r="AS160" s="736">
        <f t="shared" si="65"/>
        <v>43855994.382629365</v>
      </c>
      <c r="AT160" s="737">
        <f t="shared" si="70"/>
        <v>767479901.69601417</v>
      </c>
      <c r="AU160" s="310"/>
      <c r="AV160" s="310"/>
    </row>
    <row r="161" spans="1:48" x14ac:dyDescent="0.2">
      <c r="B161" s="732" t="s">
        <v>324</v>
      </c>
      <c r="C161" s="642"/>
      <c r="D161" s="642"/>
      <c r="E161" s="642"/>
      <c r="F161" s="642"/>
      <c r="G161" s="642"/>
      <c r="H161" s="642"/>
      <c r="I161" s="642"/>
      <c r="J161" s="642"/>
      <c r="K161" s="642"/>
      <c r="L161" s="642"/>
      <c r="M161" s="642"/>
      <c r="N161" s="642"/>
      <c r="O161" s="642"/>
      <c r="P161" s="642"/>
      <c r="Q161" s="642"/>
      <c r="R161" s="642"/>
      <c r="S161" s="642"/>
      <c r="T161" s="642"/>
      <c r="U161" s="642"/>
      <c r="V161" s="642"/>
      <c r="W161" s="642"/>
      <c r="X161" s="642"/>
      <c r="Y161" s="642"/>
      <c r="Z161" s="642"/>
      <c r="AA161" s="642"/>
      <c r="AB161" s="734"/>
      <c r="AC161" s="734">
        <f>+I8/2</f>
        <v>20594193.58323431</v>
      </c>
      <c r="AD161" s="734">
        <f>+I8</f>
        <v>41188387.16646862</v>
      </c>
      <c r="AE161" s="734">
        <f t="shared" si="68"/>
        <v>41188387.16646862</v>
      </c>
      <c r="AF161" s="734">
        <f t="shared" si="68"/>
        <v>41188387.16646862</v>
      </c>
      <c r="AG161" s="734">
        <f t="shared" si="68"/>
        <v>41188387.16646862</v>
      </c>
      <c r="AH161" s="734">
        <f t="shared" si="68"/>
        <v>41188387.16646862</v>
      </c>
      <c r="AI161" s="735">
        <f t="shared" si="68"/>
        <v>41188387.16646862</v>
      </c>
      <c r="AJ161" s="735">
        <f t="shared" si="69"/>
        <v>41188387.16646862</v>
      </c>
      <c r="AK161" s="735">
        <f t="shared" si="69"/>
        <v>41188387.16646862</v>
      </c>
      <c r="AL161" s="735">
        <f t="shared" si="69"/>
        <v>41188387.16646862</v>
      </c>
      <c r="AM161" s="734">
        <f t="shared" si="69"/>
        <v>41188387.16646862</v>
      </c>
      <c r="AN161" s="736">
        <f t="shared" si="69"/>
        <v>41188387.16646862</v>
      </c>
      <c r="AO161" s="736">
        <f t="shared" si="61"/>
        <v>41188387.16646862</v>
      </c>
      <c r="AP161" s="736">
        <f t="shared" si="62"/>
        <v>41188387.16646862</v>
      </c>
      <c r="AQ161" s="736">
        <f t="shared" si="63"/>
        <v>41188387.16646862</v>
      </c>
      <c r="AR161" s="736">
        <f t="shared" si="64"/>
        <v>41188387.16646862</v>
      </c>
      <c r="AS161" s="736">
        <f t="shared" si="65"/>
        <v>41188387.16646862</v>
      </c>
      <c r="AT161" s="737">
        <f t="shared" si="70"/>
        <v>679608388.24673223</v>
      </c>
      <c r="AU161" s="310"/>
      <c r="AV161" s="310"/>
    </row>
    <row r="162" spans="1:48" x14ac:dyDescent="0.2">
      <c r="B162" s="732" t="s">
        <v>325</v>
      </c>
      <c r="C162" s="642"/>
      <c r="D162" s="642"/>
      <c r="E162" s="642"/>
      <c r="F162" s="642"/>
      <c r="G162" s="642"/>
      <c r="H162" s="642"/>
      <c r="I162" s="642"/>
      <c r="J162" s="642"/>
      <c r="K162" s="642"/>
      <c r="L162" s="642"/>
      <c r="M162" s="642"/>
      <c r="N162" s="642"/>
      <c r="O162" s="642"/>
      <c r="P162" s="642"/>
      <c r="Q162" s="642"/>
      <c r="R162" s="642"/>
      <c r="S162" s="642"/>
      <c r="T162" s="642"/>
      <c r="U162" s="642"/>
      <c r="V162" s="642"/>
      <c r="W162" s="642"/>
      <c r="X162" s="642"/>
      <c r="Y162" s="642"/>
      <c r="Z162" s="642"/>
      <c r="AA162" s="642"/>
      <c r="AB162" s="734"/>
      <c r="AC162" s="734"/>
      <c r="AD162" s="734">
        <f>+J8/2</f>
        <v>15885999.783947283</v>
      </c>
      <c r="AE162" s="734">
        <f>+J8</f>
        <v>31771999.567894567</v>
      </c>
      <c r="AF162" s="734">
        <f t="shared" si="68"/>
        <v>31771999.567894567</v>
      </c>
      <c r="AG162" s="734">
        <f t="shared" si="68"/>
        <v>31771999.567894567</v>
      </c>
      <c r="AH162" s="734">
        <f t="shared" si="68"/>
        <v>31771999.567894567</v>
      </c>
      <c r="AI162" s="735">
        <f t="shared" si="68"/>
        <v>31771999.567894567</v>
      </c>
      <c r="AJ162" s="735">
        <f t="shared" si="69"/>
        <v>31771999.567894567</v>
      </c>
      <c r="AK162" s="735">
        <f t="shared" si="69"/>
        <v>31771999.567894567</v>
      </c>
      <c r="AL162" s="735">
        <f t="shared" si="69"/>
        <v>31771999.567894567</v>
      </c>
      <c r="AM162" s="734">
        <f t="shared" si="69"/>
        <v>31771999.567894567</v>
      </c>
      <c r="AN162" s="736">
        <f t="shared" si="69"/>
        <v>31771999.567894567</v>
      </c>
      <c r="AO162" s="736">
        <f t="shared" si="61"/>
        <v>31771999.567894567</v>
      </c>
      <c r="AP162" s="736">
        <f t="shared" si="62"/>
        <v>31771999.567894567</v>
      </c>
      <c r="AQ162" s="736">
        <f t="shared" si="63"/>
        <v>31771999.567894567</v>
      </c>
      <c r="AR162" s="736">
        <f t="shared" si="64"/>
        <v>31771999.567894567</v>
      </c>
      <c r="AS162" s="736">
        <f t="shared" si="65"/>
        <v>31771999.567894567</v>
      </c>
      <c r="AT162" s="737">
        <f t="shared" si="70"/>
        <v>492465993.3023659</v>
      </c>
      <c r="AU162" s="310"/>
      <c r="AV162" s="310"/>
    </row>
    <row r="163" spans="1:48" x14ac:dyDescent="0.2">
      <c r="B163" s="732" t="s">
        <v>326</v>
      </c>
      <c r="C163" s="642"/>
      <c r="D163" s="642"/>
      <c r="E163" s="642"/>
      <c r="F163" s="642"/>
      <c r="G163" s="642"/>
      <c r="H163" s="642"/>
      <c r="I163" s="642"/>
      <c r="J163" s="642"/>
      <c r="K163" s="642"/>
      <c r="L163" s="642"/>
      <c r="M163" s="642"/>
      <c r="N163" s="642"/>
      <c r="O163" s="642"/>
      <c r="P163" s="642"/>
      <c r="Q163" s="642"/>
      <c r="R163" s="642"/>
      <c r="S163" s="642"/>
      <c r="T163" s="642"/>
      <c r="U163" s="642"/>
      <c r="V163" s="642"/>
      <c r="W163" s="642"/>
      <c r="X163" s="642"/>
      <c r="Y163" s="642"/>
      <c r="Z163" s="642"/>
      <c r="AA163" s="642"/>
      <c r="AB163" s="734"/>
      <c r="AC163" s="734"/>
      <c r="AD163" s="734"/>
      <c r="AE163" s="734">
        <f>+K8/2</f>
        <v>12342114.615966296</v>
      </c>
      <c r="AF163" s="734">
        <f>+K8</f>
        <v>24684229.231932592</v>
      </c>
      <c r="AG163" s="734">
        <f t="shared" si="68"/>
        <v>24684229.231932592</v>
      </c>
      <c r="AH163" s="734">
        <f t="shared" si="68"/>
        <v>24684229.231932592</v>
      </c>
      <c r="AI163" s="735">
        <f t="shared" si="68"/>
        <v>24684229.231932592</v>
      </c>
      <c r="AJ163" s="735">
        <f t="shared" si="69"/>
        <v>24684229.231932592</v>
      </c>
      <c r="AK163" s="735">
        <f t="shared" si="69"/>
        <v>24684229.231932592</v>
      </c>
      <c r="AL163" s="735">
        <f t="shared" si="69"/>
        <v>24684229.231932592</v>
      </c>
      <c r="AM163" s="734">
        <f t="shared" si="69"/>
        <v>24684229.231932592</v>
      </c>
      <c r="AN163" s="736">
        <f t="shared" si="69"/>
        <v>24684229.231932592</v>
      </c>
      <c r="AO163" s="736">
        <f t="shared" si="61"/>
        <v>24684229.231932592</v>
      </c>
      <c r="AP163" s="736">
        <f t="shared" si="62"/>
        <v>24684229.231932592</v>
      </c>
      <c r="AQ163" s="736">
        <f t="shared" si="63"/>
        <v>24684229.231932592</v>
      </c>
      <c r="AR163" s="736">
        <f t="shared" si="64"/>
        <v>24684229.231932592</v>
      </c>
      <c r="AS163" s="736">
        <f t="shared" si="65"/>
        <v>24684229.231932592</v>
      </c>
      <c r="AT163" s="737">
        <f t="shared" si="70"/>
        <v>357921323.86302251</v>
      </c>
      <c r="AU163" s="310"/>
      <c r="AV163" s="310"/>
    </row>
    <row r="164" spans="1:48" x14ac:dyDescent="0.2">
      <c r="B164" s="732" t="s">
        <v>327</v>
      </c>
      <c r="C164" s="642"/>
      <c r="D164" s="642"/>
      <c r="E164" s="642"/>
      <c r="F164" s="642"/>
      <c r="G164" s="642"/>
      <c r="H164" s="642"/>
      <c r="I164" s="642"/>
      <c r="J164" s="642"/>
      <c r="K164" s="642"/>
      <c r="L164" s="642"/>
      <c r="M164" s="642"/>
      <c r="N164" s="642"/>
      <c r="O164" s="642"/>
      <c r="P164" s="642"/>
      <c r="Q164" s="642"/>
      <c r="R164" s="642"/>
      <c r="S164" s="642"/>
      <c r="T164" s="642"/>
      <c r="U164" s="642"/>
      <c r="V164" s="642"/>
      <c r="W164" s="642"/>
      <c r="X164" s="642"/>
      <c r="Y164" s="642"/>
      <c r="Z164" s="642"/>
      <c r="AA164" s="642"/>
      <c r="AB164" s="642"/>
      <c r="AC164" s="720"/>
      <c r="AD164" s="720"/>
      <c r="AE164" s="720"/>
      <c r="AF164" s="734">
        <f>+L8/2</f>
        <v>13750141.514529545</v>
      </c>
      <c r="AG164" s="734">
        <f>+L8</f>
        <v>27500283.02905909</v>
      </c>
      <c r="AH164" s="734">
        <f t="shared" si="68"/>
        <v>27500283.02905909</v>
      </c>
      <c r="AI164" s="735">
        <f t="shared" si="68"/>
        <v>27500283.02905909</v>
      </c>
      <c r="AJ164" s="735">
        <f t="shared" si="69"/>
        <v>27500283.02905909</v>
      </c>
      <c r="AK164" s="735">
        <f t="shared" si="69"/>
        <v>27500283.02905909</v>
      </c>
      <c r="AL164" s="735">
        <f t="shared" si="69"/>
        <v>27500283.02905909</v>
      </c>
      <c r="AM164" s="734">
        <f t="shared" si="69"/>
        <v>27500283.02905909</v>
      </c>
      <c r="AN164" s="736">
        <f t="shared" si="69"/>
        <v>27500283.02905909</v>
      </c>
      <c r="AO164" s="736">
        <f t="shared" si="61"/>
        <v>27500283.02905909</v>
      </c>
      <c r="AP164" s="736">
        <f t="shared" si="62"/>
        <v>27500283.02905909</v>
      </c>
      <c r="AQ164" s="736">
        <f t="shared" si="63"/>
        <v>27500283.02905909</v>
      </c>
      <c r="AR164" s="736">
        <f t="shared" si="64"/>
        <v>27500283.02905909</v>
      </c>
      <c r="AS164" s="736">
        <f t="shared" si="65"/>
        <v>27500283.02905909</v>
      </c>
      <c r="AT164" s="737">
        <f t="shared" si="70"/>
        <v>371253820.89229774</v>
      </c>
      <c r="AU164" s="310"/>
      <c r="AV164" s="310"/>
    </row>
    <row r="165" spans="1:48" x14ac:dyDescent="0.2">
      <c r="B165" s="732" t="s">
        <v>328</v>
      </c>
      <c r="C165" s="642"/>
      <c r="D165" s="642"/>
      <c r="E165" s="642"/>
      <c r="F165" s="642"/>
      <c r="G165" s="642"/>
      <c r="H165" s="642"/>
      <c r="I165" s="642"/>
      <c r="J165" s="642"/>
      <c r="K165" s="642"/>
      <c r="L165" s="642"/>
      <c r="M165" s="642"/>
      <c r="N165" s="642"/>
      <c r="O165" s="642"/>
      <c r="P165" s="642"/>
      <c r="Q165" s="642"/>
      <c r="R165" s="642"/>
      <c r="S165" s="642"/>
      <c r="T165" s="642"/>
      <c r="U165" s="642"/>
      <c r="V165" s="642"/>
      <c r="W165" s="642"/>
      <c r="X165" s="642"/>
      <c r="Y165" s="642"/>
      <c r="Z165" s="642"/>
      <c r="AA165" s="642"/>
      <c r="AB165" s="642"/>
      <c r="AC165" s="720"/>
      <c r="AD165" s="720"/>
      <c r="AE165" s="720"/>
      <c r="AF165" s="734"/>
      <c r="AG165" s="734">
        <f>+M8/2</f>
        <v>7633980.7713081995</v>
      </c>
      <c r="AH165" s="734">
        <f>+M8</f>
        <v>15267961.542616399</v>
      </c>
      <c r="AI165" s="735">
        <f t="shared" si="68"/>
        <v>15267961.542616399</v>
      </c>
      <c r="AJ165" s="735">
        <f t="shared" si="69"/>
        <v>15267961.542616399</v>
      </c>
      <c r="AK165" s="735">
        <f t="shared" si="69"/>
        <v>15267961.542616399</v>
      </c>
      <c r="AL165" s="735">
        <f t="shared" si="69"/>
        <v>15267961.542616399</v>
      </c>
      <c r="AM165" s="734">
        <f t="shared" si="69"/>
        <v>15267961.542616399</v>
      </c>
      <c r="AN165" s="736">
        <f t="shared" si="69"/>
        <v>15267961.542616399</v>
      </c>
      <c r="AO165" s="736">
        <f t="shared" si="61"/>
        <v>15267961.542616399</v>
      </c>
      <c r="AP165" s="736">
        <f t="shared" si="62"/>
        <v>15267961.542616399</v>
      </c>
      <c r="AQ165" s="736">
        <f t="shared" si="63"/>
        <v>15267961.542616399</v>
      </c>
      <c r="AR165" s="736">
        <f t="shared" si="64"/>
        <v>15267961.542616399</v>
      </c>
      <c r="AS165" s="736">
        <f t="shared" si="65"/>
        <v>15267961.542616399</v>
      </c>
      <c r="AT165" s="737">
        <f t="shared" si="70"/>
        <v>190849519.28270498</v>
      </c>
      <c r="AU165" s="310"/>
      <c r="AV165" s="310"/>
    </row>
    <row r="166" spans="1:48" x14ac:dyDescent="0.2">
      <c r="B166" s="732" t="s">
        <v>329</v>
      </c>
      <c r="C166" s="642"/>
      <c r="D166" s="642"/>
      <c r="E166" s="642"/>
      <c r="F166" s="642"/>
      <c r="G166" s="642"/>
      <c r="H166" s="642"/>
      <c r="I166" s="642"/>
      <c r="J166" s="642"/>
      <c r="K166" s="642"/>
      <c r="L166" s="642"/>
      <c r="M166" s="642"/>
      <c r="N166" s="642"/>
      <c r="O166" s="642"/>
      <c r="P166" s="642"/>
      <c r="Q166" s="642"/>
      <c r="R166" s="642"/>
      <c r="S166" s="642"/>
      <c r="T166" s="642"/>
      <c r="U166" s="642"/>
      <c r="V166" s="642"/>
      <c r="W166" s="642"/>
      <c r="X166" s="642"/>
      <c r="Y166" s="642"/>
      <c r="Z166" s="642"/>
      <c r="AA166" s="642"/>
      <c r="AB166" s="642"/>
      <c r="AC166" s="720"/>
      <c r="AD166" s="720"/>
      <c r="AE166" s="720"/>
      <c r="AF166" s="734"/>
      <c r="AG166" s="734"/>
      <c r="AH166" s="734">
        <f>+N8/2</f>
        <v>10450395.37647186</v>
      </c>
      <c r="AI166" s="735">
        <f>+N8</f>
        <v>20900790.752943721</v>
      </c>
      <c r="AJ166" s="735">
        <f>+AI166</f>
        <v>20900790.752943721</v>
      </c>
      <c r="AK166" s="735">
        <f t="shared" si="69"/>
        <v>20900790.752943721</v>
      </c>
      <c r="AL166" s="735">
        <f t="shared" si="69"/>
        <v>20900790.752943721</v>
      </c>
      <c r="AM166" s="734">
        <f t="shared" si="69"/>
        <v>20900790.752943721</v>
      </c>
      <c r="AN166" s="736">
        <f t="shared" si="69"/>
        <v>20900790.752943721</v>
      </c>
      <c r="AO166" s="736">
        <f t="shared" si="61"/>
        <v>20900790.752943721</v>
      </c>
      <c r="AP166" s="736">
        <f t="shared" si="62"/>
        <v>20900790.752943721</v>
      </c>
      <c r="AQ166" s="736">
        <f t="shared" si="63"/>
        <v>20900790.752943721</v>
      </c>
      <c r="AR166" s="736">
        <f t="shared" si="64"/>
        <v>20900790.752943721</v>
      </c>
      <c r="AS166" s="736">
        <f t="shared" si="65"/>
        <v>20900790.752943721</v>
      </c>
      <c r="AT166" s="737">
        <f t="shared" si="70"/>
        <v>240359093.65885282</v>
      </c>
      <c r="AU166" s="310"/>
      <c r="AV166" s="310"/>
    </row>
    <row r="167" spans="1:48" x14ac:dyDescent="0.2">
      <c r="B167" s="732" t="s">
        <v>330</v>
      </c>
      <c r="C167" s="642"/>
      <c r="D167" s="642"/>
      <c r="E167" s="642"/>
      <c r="F167" s="642"/>
      <c r="G167" s="642"/>
      <c r="H167" s="642"/>
      <c r="I167" s="642"/>
      <c r="J167" s="642"/>
      <c r="K167" s="642"/>
      <c r="L167" s="642"/>
      <c r="M167" s="642"/>
      <c r="N167" s="642"/>
      <c r="O167" s="642"/>
      <c r="P167" s="642"/>
      <c r="Q167" s="642"/>
      <c r="R167" s="642"/>
      <c r="S167" s="642"/>
      <c r="T167" s="642"/>
      <c r="U167" s="642"/>
      <c r="V167" s="642"/>
      <c r="W167" s="642"/>
      <c r="X167" s="642"/>
      <c r="Y167" s="642"/>
      <c r="Z167" s="642"/>
      <c r="AA167" s="642"/>
      <c r="AB167" s="642"/>
      <c r="AC167" s="720"/>
      <c r="AD167" s="720"/>
      <c r="AE167" s="720"/>
      <c r="AF167" s="734"/>
      <c r="AG167" s="734"/>
      <c r="AH167" s="734"/>
      <c r="AI167" s="735">
        <f>+O8/2</f>
        <v>6193504.9151993087</v>
      </c>
      <c r="AJ167" s="735">
        <f>+O8</f>
        <v>12387009.830398617</v>
      </c>
      <c r="AK167" s="735">
        <f t="shared" si="69"/>
        <v>12387009.830398617</v>
      </c>
      <c r="AL167" s="735">
        <f t="shared" si="69"/>
        <v>12387009.830398617</v>
      </c>
      <c r="AM167" s="734">
        <f t="shared" si="69"/>
        <v>12387009.830398617</v>
      </c>
      <c r="AN167" s="736">
        <f t="shared" si="69"/>
        <v>12387009.830398617</v>
      </c>
      <c r="AO167" s="736">
        <f t="shared" si="61"/>
        <v>12387009.830398617</v>
      </c>
      <c r="AP167" s="736">
        <f t="shared" si="62"/>
        <v>12387009.830398617</v>
      </c>
      <c r="AQ167" s="736">
        <f t="shared" si="63"/>
        <v>12387009.830398617</v>
      </c>
      <c r="AR167" s="736">
        <f t="shared" si="64"/>
        <v>12387009.830398617</v>
      </c>
      <c r="AS167" s="736">
        <f t="shared" si="65"/>
        <v>12387009.830398617</v>
      </c>
      <c r="AT167" s="737">
        <f t="shared" si="70"/>
        <v>130063603.21918549</v>
      </c>
      <c r="AU167" s="310"/>
      <c r="AV167" s="310"/>
    </row>
    <row r="168" spans="1:48" s="310" customFormat="1" x14ac:dyDescent="0.2">
      <c r="A168" s="385"/>
      <c r="B168" s="732" t="s">
        <v>331</v>
      </c>
      <c r="C168" s="642"/>
      <c r="D168" s="642"/>
      <c r="E168" s="642"/>
      <c r="F168" s="642"/>
      <c r="G168" s="642"/>
      <c r="H168" s="642"/>
      <c r="I168" s="642"/>
      <c r="J168" s="642"/>
      <c r="K168" s="642"/>
      <c r="L168" s="642"/>
      <c r="M168" s="642"/>
      <c r="N168" s="642"/>
      <c r="O168" s="642"/>
      <c r="P168" s="642"/>
      <c r="Q168" s="642"/>
      <c r="R168" s="642"/>
      <c r="S168" s="642"/>
      <c r="T168" s="642"/>
      <c r="U168" s="642"/>
      <c r="V168" s="642"/>
      <c r="W168" s="642"/>
      <c r="X168" s="642"/>
      <c r="Y168" s="642"/>
      <c r="Z168" s="642"/>
      <c r="AA168" s="642"/>
      <c r="AB168" s="642"/>
      <c r="AC168" s="720"/>
      <c r="AD168" s="720"/>
      <c r="AE168" s="720"/>
      <c r="AF168" s="734"/>
      <c r="AG168" s="734"/>
      <c r="AH168" s="734"/>
      <c r="AI168" s="735"/>
      <c r="AJ168" s="735">
        <f>+P8/2</f>
        <v>5922161.6074322136</v>
      </c>
      <c r="AK168" s="735">
        <f>P8</f>
        <v>11844323.214864427</v>
      </c>
      <c r="AL168" s="735">
        <f>AK168</f>
        <v>11844323.214864427</v>
      </c>
      <c r="AM168" s="734">
        <f>AL168</f>
        <v>11844323.214864427</v>
      </c>
      <c r="AN168" s="736">
        <f>AM168</f>
        <v>11844323.214864427</v>
      </c>
      <c r="AO168" s="736">
        <f t="shared" ref="AO168:AS168" si="71">AN168</f>
        <v>11844323.214864427</v>
      </c>
      <c r="AP168" s="736">
        <f t="shared" si="71"/>
        <v>11844323.214864427</v>
      </c>
      <c r="AQ168" s="736">
        <f t="shared" si="71"/>
        <v>11844323.214864427</v>
      </c>
      <c r="AR168" s="736">
        <f t="shared" si="71"/>
        <v>11844323.214864427</v>
      </c>
      <c r="AS168" s="736">
        <f t="shared" si="71"/>
        <v>11844323.214864427</v>
      </c>
      <c r="AT168" s="737">
        <f t="shared" si="70"/>
        <v>112521070.54121207</v>
      </c>
    </row>
    <row r="169" spans="1:48" ht="12.75" customHeight="1" x14ac:dyDescent="0.2">
      <c r="B169" s="732" t="s">
        <v>332</v>
      </c>
      <c r="C169" s="642"/>
      <c r="D169" s="642"/>
      <c r="E169" s="642"/>
      <c r="F169" s="642"/>
      <c r="G169" s="642"/>
      <c r="H169" s="642"/>
      <c r="I169" s="642"/>
      <c r="J169" s="642"/>
      <c r="K169" s="642"/>
      <c r="L169" s="642"/>
      <c r="M169" s="642"/>
      <c r="N169" s="642"/>
      <c r="O169" s="642"/>
      <c r="P169" s="642"/>
      <c r="Q169" s="642"/>
      <c r="R169" s="642"/>
      <c r="S169" s="642"/>
      <c r="T169" s="642"/>
      <c r="U169" s="642"/>
      <c r="V169" s="642"/>
      <c r="W169" s="642"/>
      <c r="X169" s="642"/>
      <c r="Y169" s="642"/>
      <c r="Z169" s="642"/>
      <c r="AA169" s="642"/>
      <c r="AB169" s="642"/>
      <c r="AC169" s="720"/>
      <c r="AD169" s="720"/>
      <c r="AE169" s="720"/>
      <c r="AF169" s="734"/>
      <c r="AG169" s="734"/>
      <c r="AH169" s="734"/>
      <c r="AI169" s="735"/>
      <c r="AJ169" s="735"/>
      <c r="AK169" s="735">
        <f>Q8/2</f>
        <v>5025421</v>
      </c>
      <c r="AL169" s="735">
        <f>Q8</f>
        <v>10050842</v>
      </c>
      <c r="AM169" s="734">
        <f>+AL169</f>
        <v>10050842</v>
      </c>
      <c r="AN169" s="736">
        <f>+AM169</f>
        <v>10050842</v>
      </c>
      <c r="AO169" s="736">
        <f t="shared" ref="AO169:AS169" si="72">+AN169</f>
        <v>10050842</v>
      </c>
      <c r="AP169" s="736">
        <f t="shared" si="72"/>
        <v>10050842</v>
      </c>
      <c r="AQ169" s="736">
        <f t="shared" si="72"/>
        <v>10050842</v>
      </c>
      <c r="AR169" s="736">
        <f t="shared" si="72"/>
        <v>10050842</v>
      </c>
      <c r="AS169" s="736">
        <f t="shared" si="72"/>
        <v>10050842</v>
      </c>
      <c r="AT169" s="737">
        <f t="shared" si="70"/>
        <v>85432157</v>
      </c>
      <c r="AU169" s="310"/>
      <c r="AV169" s="310"/>
    </row>
    <row r="170" spans="1:48" ht="12.75" customHeight="1" x14ac:dyDescent="0.2">
      <c r="B170" s="732" t="s">
        <v>333</v>
      </c>
      <c r="C170" s="642"/>
      <c r="D170" s="642"/>
      <c r="E170" s="642"/>
      <c r="F170" s="642"/>
      <c r="G170" s="642"/>
      <c r="H170" s="642"/>
      <c r="I170" s="642"/>
      <c r="J170" s="642"/>
      <c r="K170" s="642"/>
      <c r="L170" s="642"/>
      <c r="M170" s="642"/>
      <c r="N170" s="642"/>
      <c r="O170" s="642"/>
      <c r="P170" s="642"/>
      <c r="Q170" s="642"/>
      <c r="R170" s="642"/>
      <c r="S170" s="642"/>
      <c r="T170" s="642"/>
      <c r="U170" s="642"/>
      <c r="V170" s="642"/>
      <c r="W170" s="642"/>
      <c r="X170" s="642"/>
      <c r="Y170" s="642"/>
      <c r="Z170" s="642"/>
      <c r="AA170" s="642"/>
      <c r="AB170" s="642"/>
      <c r="AC170" s="720"/>
      <c r="AD170" s="720"/>
      <c r="AE170" s="720"/>
      <c r="AF170" s="734"/>
      <c r="AG170" s="734"/>
      <c r="AH170" s="734"/>
      <c r="AI170" s="735"/>
      <c r="AJ170" s="735"/>
      <c r="AK170" s="735"/>
      <c r="AL170" s="735">
        <f>R8/2</f>
        <v>15333349.5</v>
      </c>
      <c r="AM170" s="734">
        <f>R8</f>
        <v>30666699</v>
      </c>
      <c r="AN170" s="736">
        <f>+AM170</f>
        <v>30666699</v>
      </c>
      <c r="AO170" s="736">
        <f t="shared" ref="AO170:AS175" si="73">+AN170</f>
        <v>30666699</v>
      </c>
      <c r="AP170" s="736">
        <f t="shared" si="73"/>
        <v>30666699</v>
      </c>
      <c r="AQ170" s="736">
        <f t="shared" si="73"/>
        <v>30666699</v>
      </c>
      <c r="AR170" s="736">
        <f t="shared" si="73"/>
        <v>30666699</v>
      </c>
      <c r="AS170" s="736">
        <f t="shared" si="73"/>
        <v>30666699</v>
      </c>
      <c r="AT170" s="737">
        <f t="shared" si="70"/>
        <v>230000242.5</v>
      </c>
      <c r="AU170" s="310"/>
      <c r="AV170" s="310"/>
    </row>
    <row r="171" spans="1:48" ht="12.75" customHeight="1" x14ac:dyDescent="0.2">
      <c r="B171" s="732" t="s">
        <v>334</v>
      </c>
      <c r="C171" s="642"/>
      <c r="D171" s="642"/>
      <c r="E171" s="642"/>
      <c r="F171" s="642"/>
      <c r="G171" s="642"/>
      <c r="H171" s="642"/>
      <c r="I171" s="642"/>
      <c r="J171" s="642"/>
      <c r="K171" s="642"/>
      <c r="L171" s="642"/>
      <c r="M171" s="642"/>
      <c r="N171" s="642"/>
      <c r="O171" s="642"/>
      <c r="P171" s="642"/>
      <c r="Q171" s="642"/>
      <c r="R171" s="642"/>
      <c r="S171" s="642"/>
      <c r="T171" s="642"/>
      <c r="U171" s="642"/>
      <c r="V171" s="642"/>
      <c r="W171" s="642"/>
      <c r="X171" s="642"/>
      <c r="Y171" s="642"/>
      <c r="Z171" s="642"/>
      <c r="AA171" s="642"/>
      <c r="AB171" s="642"/>
      <c r="AC171" s="720"/>
      <c r="AD171" s="720"/>
      <c r="AE171" s="720"/>
      <c r="AF171" s="734"/>
      <c r="AG171" s="734"/>
      <c r="AH171" s="734"/>
      <c r="AI171" s="735"/>
      <c r="AJ171" s="735"/>
      <c r="AK171" s="735"/>
      <c r="AL171" s="735"/>
      <c r="AM171" s="734">
        <f>+S8/2</f>
        <v>20861558.5</v>
      </c>
      <c r="AN171" s="736">
        <f>+S8</f>
        <v>41723117</v>
      </c>
      <c r="AO171" s="736">
        <f>AN171</f>
        <v>41723117</v>
      </c>
      <c r="AP171" s="736">
        <f t="shared" si="73"/>
        <v>41723117</v>
      </c>
      <c r="AQ171" s="736">
        <f t="shared" si="73"/>
        <v>41723117</v>
      </c>
      <c r="AR171" s="736">
        <f t="shared" si="73"/>
        <v>41723117</v>
      </c>
      <c r="AS171" s="736">
        <f t="shared" si="73"/>
        <v>41723117</v>
      </c>
      <c r="AT171" s="737">
        <f t="shared" si="70"/>
        <v>271200260.5</v>
      </c>
      <c r="AU171" s="310"/>
      <c r="AV171" s="310"/>
    </row>
    <row r="172" spans="1:48" ht="12.75" customHeight="1" x14ac:dyDescent="0.2">
      <c r="B172" s="732" t="s">
        <v>335</v>
      </c>
      <c r="C172" s="642"/>
      <c r="D172" s="642"/>
      <c r="E172" s="642"/>
      <c r="F172" s="642"/>
      <c r="G172" s="642"/>
      <c r="H172" s="642"/>
      <c r="I172" s="642"/>
      <c r="J172" s="642"/>
      <c r="K172" s="642"/>
      <c r="L172" s="642"/>
      <c r="M172" s="642"/>
      <c r="N172" s="642"/>
      <c r="O172" s="642"/>
      <c r="P172" s="642"/>
      <c r="Q172" s="642"/>
      <c r="R172" s="642"/>
      <c r="S172" s="642"/>
      <c r="T172" s="642"/>
      <c r="U172" s="642"/>
      <c r="V172" s="642"/>
      <c r="W172" s="642"/>
      <c r="X172" s="642"/>
      <c r="Y172" s="642"/>
      <c r="Z172" s="642"/>
      <c r="AA172" s="642"/>
      <c r="AB172" s="642"/>
      <c r="AC172" s="720"/>
      <c r="AD172" s="720"/>
      <c r="AE172" s="720"/>
      <c r="AF172" s="734"/>
      <c r="AG172" s="734"/>
      <c r="AH172" s="734"/>
      <c r="AI172" s="735"/>
      <c r="AJ172" s="735"/>
      <c r="AK172" s="735"/>
      <c r="AL172" s="735"/>
      <c r="AM172" s="734"/>
      <c r="AN172" s="736">
        <f>T8/2</f>
        <v>8665637</v>
      </c>
      <c r="AO172" s="736">
        <f>T8</f>
        <v>17331274</v>
      </c>
      <c r="AP172" s="736">
        <f>AO172</f>
        <v>17331274</v>
      </c>
      <c r="AQ172" s="736">
        <f t="shared" si="73"/>
        <v>17331274</v>
      </c>
      <c r="AR172" s="736">
        <f t="shared" si="73"/>
        <v>17331274</v>
      </c>
      <c r="AS172" s="736">
        <f t="shared" si="73"/>
        <v>17331274</v>
      </c>
      <c r="AT172" s="737">
        <f t="shared" si="70"/>
        <v>95322007</v>
      </c>
      <c r="AU172" s="310"/>
      <c r="AV172" s="310"/>
    </row>
    <row r="173" spans="1:48" ht="12.75" customHeight="1" x14ac:dyDescent="0.2">
      <c r="B173" s="732" t="s">
        <v>336</v>
      </c>
      <c r="C173" s="738"/>
      <c r="D173" s="738"/>
      <c r="E173" s="738"/>
      <c r="F173" s="738"/>
      <c r="G173" s="738"/>
      <c r="H173" s="738"/>
      <c r="I173" s="738"/>
      <c r="J173" s="738"/>
      <c r="K173" s="738"/>
      <c r="L173" s="738"/>
      <c r="M173" s="738"/>
      <c r="N173" s="738"/>
      <c r="O173" s="738"/>
      <c r="P173" s="738"/>
      <c r="Q173" s="738"/>
      <c r="R173" s="738"/>
      <c r="S173" s="738"/>
      <c r="T173" s="738"/>
      <c r="U173" s="738"/>
      <c r="V173" s="738"/>
      <c r="W173" s="738"/>
      <c r="X173" s="738"/>
      <c r="Y173" s="738"/>
      <c r="Z173" s="738"/>
      <c r="AA173" s="738"/>
      <c r="AB173" s="738"/>
      <c r="AC173" s="739"/>
      <c r="AD173" s="739"/>
      <c r="AE173" s="739"/>
      <c r="AF173" s="740"/>
      <c r="AG173" s="740"/>
      <c r="AH173" s="741"/>
      <c r="AI173" s="742"/>
      <c r="AJ173" s="742"/>
      <c r="AK173" s="742"/>
      <c r="AL173" s="742"/>
      <c r="AM173" s="740"/>
      <c r="AN173" s="740"/>
      <c r="AO173" s="740">
        <f>U8/2</f>
        <v>4608437</v>
      </c>
      <c r="AP173" s="740">
        <f>U8</f>
        <v>9216874</v>
      </c>
      <c r="AQ173" s="740">
        <f>AP173</f>
        <v>9216874</v>
      </c>
      <c r="AR173" s="740">
        <f t="shared" si="73"/>
        <v>9216874</v>
      </c>
      <c r="AS173" s="740">
        <f t="shared" si="73"/>
        <v>9216874</v>
      </c>
      <c r="AT173" s="743">
        <f t="shared" si="70"/>
        <v>41475933</v>
      </c>
      <c r="AU173" s="310"/>
      <c r="AV173" s="310"/>
    </row>
    <row r="174" spans="1:48" ht="12.75" customHeight="1" x14ac:dyDescent="0.2">
      <c r="B174" s="732" t="s">
        <v>337</v>
      </c>
      <c r="C174" s="738"/>
      <c r="D174" s="738"/>
      <c r="E174" s="738"/>
      <c r="F174" s="738"/>
      <c r="G174" s="738"/>
      <c r="H174" s="738"/>
      <c r="I174" s="738"/>
      <c r="J174" s="738"/>
      <c r="K174" s="738"/>
      <c r="L174" s="738"/>
      <c r="M174" s="738"/>
      <c r="N174" s="738"/>
      <c r="O174" s="738"/>
      <c r="P174" s="738"/>
      <c r="Q174" s="738"/>
      <c r="R174" s="738"/>
      <c r="S174" s="738"/>
      <c r="T174" s="738"/>
      <c r="U174" s="738"/>
      <c r="V174" s="738"/>
      <c r="W174" s="738"/>
      <c r="X174" s="738"/>
      <c r="Y174" s="738"/>
      <c r="Z174" s="738"/>
      <c r="AA174" s="738"/>
      <c r="AB174" s="738"/>
      <c r="AC174" s="739"/>
      <c r="AD174" s="739"/>
      <c r="AE174" s="739"/>
      <c r="AF174" s="740"/>
      <c r="AG174" s="740"/>
      <c r="AH174" s="741"/>
      <c r="AI174" s="742"/>
      <c r="AJ174" s="742"/>
      <c r="AK174" s="742"/>
      <c r="AL174" s="742"/>
      <c r="AM174" s="740"/>
      <c r="AN174" s="740"/>
      <c r="AO174" s="740"/>
      <c r="AP174" s="740">
        <f>V8/2</f>
        <v>3933028</v>
      </c>
      <c r="AQ174" s="740">
        <f>V8</f>
        <v>7866056</v>
      </c>
      <c r="AR174" s="740">
        <f t="shared" si="73"/>
        <v>7866056</v>
      </c>
      <c r="AS174" s="740">
        <f t="shared" si="73"/>
        <v>7866056</v>
      </c>
      <c r="AT174" s="743">
        <f t="shared" si="70"/>
        <v>27531196</v>
      </c>
      <c r="AU174" s="310"/>
      <c r="AV174" s="310"/>
    </row>
    <row r="175" spans="1:48" ht="12.75" customHeight="1" x14ac:dyDescent="0.2">
      <c r="B175" s="732" t="s">
        <v>338</v>
      </c>
      <c r="C175" s="738"/>
      <c r="D175" s="738"/>
      <c r="E175" s="738"/>
      <c r="F175" s="738"/>
      <c r="G175" s="738"/>
      <c r="H175" s="738"/>
      <c r="I175" s="738"/>
      <c r="J175" s="738"/>
      <c r="K175" s="738"/>
      <c r="L175" s="738"/>
      <c r="M175" s="738"/>
      <c r="N175" s="738"/>
      <c r="O175" s="738"/>
      <c r="P175" s="738"/>
      <c r="Q175" s="738"/>
      <c r="R175" s="738"/>
      <c r="S175" s="738"/>
      <c r="T175" s="738"/>
      <c r="U175" s="738"/>
      <c r="V175" s="738"/>
      <c r="W175" s="738"/>
      <c r="X175" s="738"/>
      <c r="Y175" s="738"/>
      <c r="Z175" s="738"/>
      <c r="AA175" s="738"/>
      <c r="AB175" s="738"/>
      <c r="AC175" s="739"/>
      <c r="AD175" s="739"/>
      <c r="AE175" s="739"/>
      <c r="AF175" s="740"/>
      <c r="AG175" s="740"/>
      <c r="AH175" s="741"/>
      <c r="AI175" s="742"/>
      <c r="AJ175" s="742"/>
      <c r="AK175" s="742"/>
      <c r="AL175" s="742"/>
      <c r="AM175" s="740"/>
      <c r="AN175" s="740"/>
      <c r="AO175" s="740"/>
      <c r="AP175" s="740"/>
      <c r="AQ175" s="740">
        <f>W8/2</f>
        <v>8124881</v>
      </c>
      <c r="AR175" s="740">
        <f>W8</f>
        <v>16249762</v>
      </c>
      <c r="AS175" s="740">
        <f t="shared" si="73"/>
        <v>16249762</v>
      </c>
      <c r="AT175" s="743">
        <f t="shared" si="70"/>
        <v>40624405</v>
      </c>
      <c r="AU175" s="310"/>
      <c r="AV175" s="310"/>
    </row>
    <row r="176" spans="1:48" ht="12.75" customHeight="1" x14ac:dyDescent="0.2">
      <c r="B176" s="732" t="s">
        <v>339</v>
      </c>
      <c r="C176" s="738"/>
      <c r="D176" s="738"/>
      <c r="E176" s="738"/>
      <c r="F176" s="738"/>
      <c r="G176" s="738"/>
      <c r="H176" s="738"/>
      <c r="I176" s="738"/>
      <c r="J176" s="738"/>
      <c r="K176" s="738"/>
      <c r="L176" s="738"/>
      <c r="M176" s="738"/>
      <c r="N176" s="738"/>
      <c r="O176" s="738"/>
      <c r="P176" s="738"/>
      <c r="Q176" s="738"/>
      <c r="R176" s="738"/>
      <c r="S176" s="738"/>
      <c r="T176" s="738"/>
      <c r="U176" s="738"/>
      <c r="V176" s="738"/>
      <c r="W176" s="738"/>
      <c r="X176" s="738"/>
      <c r="Y176" s="738"/>
      <c r="Z176" s="738"/>
      <c r="AA176" s="738"/>
      <c r="AB176" s="738"/>
      <c r="AC176" s="739"/>
      <c r="AD176" s="739"/>
      <c r="AE176" s="739"/>
      <c r="AF176" s="740"/>
      <c r="AG176" s="740"/>
      <c r="AH176" s="741"/>
      <c r="AI176" s="742"/>
      <c r="AJ176" s="742"/>
      <c r="AK176" s="742"/>
      <c r="AL176" s="742"/>
      <c r="AM176" s="740"/>
      <c r="AN176" s="740"/>
      <c r="AO176" s="740"/>
      <c r="AP176" s="740"/>
      <c r="AQ176" s="740"/>
      <c r="AR176" s="740">
        <f>X8/2</f>
        <v>9453992</v>
      </c>
      <c r="AS176" s="740">
        <f>X8</f>
        <v>18907984</v>
      </c>
      <c r="AT176" s="743">
        <f t="shared" si="70"/>
        <v>28361976</v>
      </c>
      <c r="AU176" s="310"/>
      <c r="AV176" s="310"/>
    </row>
    <row r="177" spans="2:49" ht="12.75" customHeight="1" thickBot="1" x14ac:dyDescent="0.25">
      <c r="B177" s="732" t="s">
        <v>340</v>
      </c>
      <c r="C177" s="738"/>
      <c r="D177" s="738"/>
      <c r="E177" s="738"/>
      <c r="F177" s="738"/>
      <c r="G177" s="738"/>
      <c r="H177" s="738"/>
      <c r="I177" s="738"/>
      <c r="J177" s="738"/>
      <c r="K177" s="738"/>
      <c r="L177" s="738"/>
      <c r="M177" s="738"/>
      <c r="N177" s="738"/>
      <c r="O177" s="738"/>
      <c r="P177" s="738"/>
      <c r="Q177" s="738"/>
      <c r="R177" s="738"/>
      <c r="S177" s="738"/>
      <c r="T177" s="738"/>
      <c r="U177" s="738"/>
      <c r="V177" s="738"/>
      <c r="W177" s="738"/>
      <c r="X177" s="738"/>
      <c r="Y177" s="738"/>
      <c r="Z177" s="738"/>
      <c r="AA177" s="738"/>
      <c r="AB177" s="738"/>
      <c r="AC177" s="739"/>
      <c r="AD177" s="739"/>
      <c r="AE177" s="739"/>
      <c r="AF177" s="740"/>
      <c r="AG177" s="740"/>
      <c r="AH177" s="741"/>
      <c r="AI177" s="742"/>
      <c r="AJ177" s="742"/>
      <c r="AK177" s="742"/>
      <c r="AL177" s="742"/>
      <c r="AM177" s="740"/>
      <c r="AN177" s="740"/>
      <c r="AO177" s="740"/>
      <c r="AP177" s="740"/>
      <c r="AQ177" s="740"/>
      <c r="AR177" s="740"/>
      <c r="AS177" s="740">
        <f>Y8/2</f>
        <v>5591927</v>
      </c>
      <c r="AT177" s="743">
        <f t="shared" si="70"/>
        <v>5591927</v>
      </c>
      <c r="AU177" s="310"/>
      <c r="AV177" s="310"/>
    </row>
    <row r="178" spans="2:49" ht="12.75" customHeight="1" x14ac:dyDescent="0.2">
      <c r="B178" s="744" t="s">
        <v>341</v>
      </c>
      <c r="C178" s="745"/>
      <c r="D178" s="745"/>
      <c r="E178" s="745"/>
      <c r="F178" s="745"/>
      <c r="G178" s="745"/>
      <c r="H178" s="745"/>
      <c r="I178" s="745"/>
      <c r="J178" s="745"/>
      <c r="K178" s="745"/>
      <c r="L178" s="745"/>
      <c r="M178" s="745"/>
      <c r="N178" s="745"/>
      <c r="O178" s="745"/>
      <c r="P178" s="745"/>
      <c r="Q178" s="745"/>
      <c r="R178" s="745"/>
      <c r="S178" s="745"/>
      <c r="T178" s="745"/>
      <c r="U178" s="745"/>
      <c r="V178" s="745"/>
      <c r="W178" s="745"/>
      <c r="X178" s="745"/>
      <c r="Y178" s="745"/>
      <c r="Z178" s="745"/>
      <c r="AA178" s="745"/>
      <c r="AB178" s="745"/>
      <c r="AC178" s="745"/>
      <c r="AD178" s="745"/>
      <c r="AE178" s="745"/>
      <c r="AF178" s="745"/>
      <c r="AG178" s="745"/>
      <c r="AH178" s="746">
        <f>+AA16/2</f>
        <v>40854.685524400033</v>
      </c>
      <c r="AI178" s="747">
        <f>+AA16</f>
        <v>81709.371048800065</v>
      </c>
      <c r="AJ178" s="747">
        <f>+AI178</f>
        <v>81709.371048800065</v>
      </c>
      <c r="AK178" s="747">
        <f>+AJ178</f>
        <v>81709.371048800065</v>
      </c>
      <c r="AL178" s="747">
        <f>+AK178</f>
        <v>81709.371048800065</v>
      </c>
      <c r="AM178" s="747">
        <f>+AL178</f>
        <v>81709.371048800065</v>
      </c>
      <c r="AN178" s="747">
        <f>+AM178</f>
        <v>81709.371048800065</v>
      </c>
      <c r="AO178" s="747">
        <f t="shared" ref="AO178:AS178" si="74">+AN178</f>
        <v>81709.371048800065</v>
      </c>
      <c r="AP178" s="747">
        <f t="shared" si="74"/>
        <v>81709.371048800065</v>
      </c>
      <c r="AQ178" s="747">
        <f t="shared" si="74"/>
        <v>81709.371048800065</v>
      </c>
      <c r="AR178" s="747">
        <f t="shared" si="74"/>
        <v>81709.371048800065</v>
      </c>
      <c r="AS178" s="748">
        <f t="shared" si="74"/>
        <v>81709.371048800065</v>
      </c>
      <c r="AT178" s="749">
        <f>SUM(W178:AS178)</f>
        <v>939657.76706120081</v>
      </c>
      <c r="AU178" s="310"/>
      <c r="AV178" s="310"/>
    </row>
    <row r="179" spans="2:49" x14ac:dyDescent="0.2">
      <c r="B179" s="750" t="s">
        <v>342</v>
      </c>
      <c r="C179" s="642"/>
      <c r="D179" s="642"/>
      <c r="E179" s="642"/>
      <c r="F179" s="642"/>
      <c r="G179" s="642"/>
      <c r="H179" s="642"/>
      <c r="I179" s="642"/>
      <c r="J179" s="642"/>
      <c r="K179" s="642"/>
      <c r="L179" s="642"/>
      <c r="M179" s="642"/>
      <c r="N179" s="642"/>
      <c r="O179" s="642"/>
      <c r="P179" s="642"/>
      <c r="Q179" s="642"/>
      <c r="R179" s="642"/>
      <c r="S179" s="642"/>
      <c r="T179" s="642"/>
      <c r="U179" s="642"/>
      <c r="V179" s="642"/>
      <c r="W179" s="642"/>
      <c r="X179" s="642"/>
      <c r="Y179" s="642"/>
      <c r="Z179" s="642"/>
      <c r="AA179" s="642"/>
      <c r="AB179" s="642"/>
      <c r="AC179" s="720"/>
      <c r="AD179" s="720"/>
      <c r="AE179" s="720"/>
      <c r="AF179" s="720"/>
      <c r="AG179" s="720"/>
      <c r="AH179" s="720"/>
      <c r="AI179" s="751">
        <f>+AB16/2</f>
        <v>87023.89420754512</v>
      </c>
      <c r="AJ179" s="751">
        <f>+AB16</f>
        <v>174047.78841509024</v>
      </c>
      <c r="AK179" s="751">
        <f>+AJ179</f>
        <v>174047.78841509024</v>
      </c>
      <c r="AL179" s="751">
        <f>+AK179</f>
        <v>174047.78841509024</v>
      </c>
      <c r="AM179" s="751">
        <f>+AL179</f>
        <v>174047.78841509024</v>
      </c>
      <c r="AN179" s="751">
        <f>+AM179</f>
        <v>174047.78841509024</v>
      </c>
      <c r="AO179" s="751">
        <f t="shared" ref="AO179:AS179" si="75">+AN179</f>
        <v>174047.78841509024</v>
      </c>
      <c r="AP179" s="751">
        <f t="shared" si="75"/>
        <v>174047.78841509024</v>
      </c>
      <c r="AQ179" s="751">
        <f t="shared" si="75"/>
        <v>174047.78841509024</v>
      </c>
      <c r="AR179" s="751">
        <f t="shared" si="75"/>
        <v>174047.78841509024</v>
      </c>
      <c r="AS179" s="752">
        <f t="shared" si="75"/>
        <v>174047.78841509024</v>
      </c>
      <c r="AT179" s="753">
        <f t="shared" ref="AT179:AT203" si="76">SUM(W179:AS179)</f>
        <v>1827501.7783584471</v>
      </c>
      <c r="AU179" s="310"/>
      <c r="AV179" s="310"/>
    </row>
    <row r="180" spans="2:49" s="141" customFormat="1" x14ac:dyDescent="0.2">
      <c r="B180" s="750" t="s">
        <v>343</v>
      </c>
      <c r="C180" s="642"/>
      <c r="D180" s="642"/>
      <c r="E180" s="642"/>
      <c r="F180" s="642"/>
      <c r="G180" s="642"/>
      <c r="H180" s="642"/>
      <c r="I180" s="642"/>
      <c r="J180" s="642"/>
      <c r="K180" s="642"/>
      <c r="L180" s="642"/>
      <c r="M180" s="642"/>
      <c r="N180" s="642"/>
      <c r="O180" s="642"/>
      <c r="P180" s="642"/>
      <c r="Q180" s="642"/>
      <c r="R180" s="642"/>
      <c r="S180" s="642"/>
      <c r="T180" s="642"/>
      <c r="U180" s="642"/>
      <c r="V180" s="642"/>
      <c r="W180" s="642"/>
      <c r="X180" s="642"/>
      <c r="Y180" s="642"/>
      <c r="Z180" s="642"/>
      <c r="AA180" s="642"/>
      <c r="AB180" s="642"/>
      <c r="AC180" s="720"/>
      <c r="AD180" s="720"/>
      <c r="AE180" s="720"/>
      <c r="AF180" s="720"/>
      <c r="AG180" s="720"/>
      <c r="AH180" s="720"/>
      <c r="AI180" s="751"/>
      <c r="AJ180" s="751">
        <f>+AC16/2</f>
        <v>117871.30057868194</v>
      </c>
      <c r="AK180" s="751">
        <f>+AC16</f>
        <v>235742.60115736388</v>
      </c>
      <c r="AL180" s="751">
        <f>AK180</f>
        <v>235742.60115736388</v>
      </c>
      <c r="AM180" s="751">
        <f>AL180</f>
        <v>235742.60115736388</v>
      </c>
      <c r="AN180" s="751">
        <f>AM180</f>
        <v>235742.60115736388</v>
      </c>
      <c r="AO180" s="751">
        <f t="shared" ref="AO180:AS180" si="77">AN180</f>
        <v>235742.60115736388</v>
      </c>
      <c r="AP180" s="751">
        <f t="shared" si="77"/>
        <v>235742.60115736388</v>
      </c>
      <c r="AQ180" s="751">
        <f t="shared" si="77"/>
        <v>235742.60115736388</v>
      </c>
      <c r="AR180" s="751">
        <f t="shared" si="77"/>
        <v>235742.60115736388</v>
      </c>
      <c r="AS180" s="752">
        <f t="shared" si="77"/>
        <v>235742.60115736388</v>
      </c>
      <c r="AT180" s="753">
        <f t="shared" si="76"/>
        <v>2239554.710994957</v>
      </c>
      <c r="AU180" s="310"/>
      <c r="AV180" s="310"/>
    </row>
    <row r="181" spans="2:49" x14ac:dyDescent="0.2">
      <c r="B181" s="750" t="s">
        <v>344</v>
      </c>
      <c r="C181" s="642"/>
      <c r="D181" s="642"/>
      <c r="E181" s="642"/>
      <c r="F181" s="642"/>
      <c r="G181" s="642"/>
      <c r="H181" s="642"/>
      <c r="I181" s="642"/>
      <c r="J181" s="642"/>
      <c r="K181" s="642"/>
      <c r="L181" s="642"/>
      <c r="M181" s="642"/>
      <c r="N181" s="642"/>
      <c r="O181" s="642"/>
      <c r="P181" s="642"/>
      <c r="Q181" s="642"/>
      <c r="R181" s="642"/>
      <c r="S181" s="642"/>
      <c r="T181" s="642"/>
      <c r="U181" s="642"/>
      <c r="V181" s="642"/>
      <c r="W181" s="642"/>
      <c r="X181" s="642"/>
      <c r="Y181" s="642"/>
      <c r="Z181" s="642"/>
      <c r="AA181" s="642"/>
      <c r="AB181" s="642"/>
      <c r="AC181" s="720"/>
      <c r="AD181" s="720"/>
      <c r="AE181" s="720"/>
      <c r="AF181" s="720"/>
      <c r="AG181" s="720"/>
      <c r="AH181" s="720"/>
      <c r="AI181" s="751"/>
      <c r="AJ181" s="751"/>
      <c r="AK181" s="751">
        <f>+AD16/2</f>
        <v>209897.01951792833</v>
      </c>
      <c r="AL181" s="751">
        <f>+AD16</f>
        <v>419794.03903585667</v>
      </c>
      <c r="AM181" s="751">
        <f>+AL181</f>
        <v>419794.03903585667</v>
      </c>
      <c r="AN181" s="751">
        <f>+AM181</f>
        <v>419794.03903585667</v>
      </c>
      <c r="AO181" s="751">
        <f t="shared" ref="AO181:AS181" si="78">+AN181</f>
        <v>419794.03903585667</v>
      </c>
      <c r="AP181" s="751">
        <f t="shared" si="78"/>
        <v>419794.03903585667</v>
      </c>
      <c r="AQ181" s="751">
        <f t="shared" si="78"/>
        <v>419794.03903585667</v>
      </c>
      <c r="AR181" s="751">
        <f t="shared" si="78"/>
        <v>419794.03903585667</v>
      </c>
      <c r="AS181" s="752">
        <f t="shared" si="78"/>
        <v>419794.03903585667</v>
      </c>
      <c r="AT181" s="753">
        <f t="shared" si="76"/>
        <v>3568249.3318047817</v>
      </c>
    </row>
    <row r="182" spans="2:49" ht="12.75" x14ac:dyDescent="0.2">
      <c r="B182" s="750" t="s">
        <v>345</v>
      </c>
      <c r="C182" s="642"/>
      <c r="D182" s="642"/>
      <c r="E182" s="642"/>
      <c r="F182" s="642"/>
      <c r="G182" s="642"/>
      <c r="H182" s="642"/>
      <c r="I182" s="642"/>
      <c r="J182" s="642"/>
      <c r="K182" s="642"/>
      <c r="L182" s="642"/>
      <c r="M182" s="642"/>
      <c r="N182" s="642"/>
      <c r="O182" s="642"/>
      <c r="P182" s="642"/>
      <c r="Q182" s="642"/>
      <c r="R182" s="642"/>
      <c r="S182" s="642"/>
      <c r="T182" s="642"/>
      <c r="U182" s="642"/>
      <c r="V182" s="642"/>
      <c r="W182" s="642"/>
      <c r="X182" s="642"/>
      <c r="Y182" s="642"/>
      <c r="Z182" s="642"/>
      <c r="AA182" s="642"/>
      <c r="AB182" s="642"/>
      <c r="AC182" s="720"/>
      <c r="AD182" s="720"/>
      <c r="AE182" s="720"/>
      <c r="AF182" s="720"/>
      <c r="AG182" s="720"/>
      <c r="AH182" s="720"/>
      <c r="AI182" s="751"/>
      <c r="AJ182" s="751"/>
      <c r="AK182" s="751"/>
      <c r="AL182" s="751">
        <f>+AE16/2</f>
        <v>136447.8491992272</v>
      </c>
      <c r="AM182" s="751">
        <f>+AE16</f>
        <v>272895.69839845441</v>
      </c>
      <c r="AN182" s="751">
        <f>+AM182</f>
        <v>272895.69839845441</v>
      </c>
      <c r="AO182" s="751">
        <f t="shared" ref="AO182:AS187" si="79">+AN182</f>
        <v>272895.69839845441</v>
      </c>
      <c r="AP182" s="751">
        <f t="shared" si="79"/>
        <v>272895.69839845441</v>
      </c>
      <c r="AQ182" s="751">
        <f t="shared" si="79"/>
        <v>272895.69839845441</v>
      </c>
      <c r="AR182" s="751">
        <f t="shared" si="79"/>
        <v>272895.69839845441</v>
      </c>
      <c r="AS182" s="752">
        <f t="shared" si="79"/>
        <v>272895.69839845441</v>
      </c>
      <c r="AT182" s="753">
        <f t="shared" si="76"/>
        <v>2046717.7379884077</v>
      </c>
      <c r="AU182" s="411"/>
      <c r="AV182" s="411"/>
      <c r="AW182" s="411"/>
    </row>
    <row r="183" spans="2:49" s="754" customFormat="1" ht="12.75" x14ac:dyDescent="0.2">
      <c r="B183" s="750" t="s">
        <v>346</v>
      </c>
      <c r="C183" s="642"/>
      <c r="D183" s="642"/>
      <c r="E183" s="642"/>
      <c r="F183" s="642"/>
      <c r="G183" s="642"/>
      <c r="H183" s="642"/>
      <c r="I183" s="642"/>
      <c r="J183" s="642"/>
      <c r="K183" s="642"/>
      <c r="L183" s="642"/>
      <c r="M183" s="642"/>
      <c r="N183" s="642"/>
      <c r="O183" s="642"/>
      <c r="P183" s="642"/>
      <c r="Q183" s="642"/>
      <c r="R183" s="642"/>
      <c r="S183" s="642"/>
      <c r="T183" s="642"/>
      <c r="U183" s="642"/>
      <c r="V183" s="642"/>
      <c r="W183" s="642"/>
      <c r="X183" s="642"/>
      <c r="Y183" s="642"/>
      <c r="Z183" s="642"/>
      <c r="AA183" s="642"/>
      <c r="AB183" s="642"/>
      <c r="AC183" s="720"/>
      <c r="AD183" s="720"/>
      <c r="AE183" s="720"/>
      <c r="AF183" s="720"/>
      <c r="AG183" s="720"/>
      <c r="AH183" s="720"/>
      <c r="AI183" s="751"/>
      <c r="AJ183" s="751"/>
      <c r="AK183" s="751"/>
      <c r="AL183" s="751"/>
      <c r="AM183" s="751">
        <f>AF16/2</f>
        <v>250453.61793805519</v>
      </c>
      <c r="AN183" s="751">
        <f>AF16</f>
        <v>500907.23587611038</v>
      </c>
      <c r="AO183" s="751">
        <f>AN183</f>
        <v>500907.23587611038</v>
      </c>
      <c r="AP183" s="751">
        <f t="shared" si="79"/>
        <v>500907.23587611038</v>
      </c>
      <c r="AQ183" s="751">
        <f t="shared" si="79"/>
        <v>500907.23587611038</v>
      </c>
      <c r="AR183" s="751">
        <f t="shared" si="79"/>
        <v>500907.23587611038</v>
      </c>
      <c r="AS183" s="752">
        <f t="shared" si="79"/>
        <v>500907.23587611038</v>
      </c>
      <c r="AT183" s="753">
        <f t="shared" si="76"/>
        <v>3255897.0331947175</v>
      </c>
      <c r="AU183" s="411"/>
      <c r="AV183" s="411"/>
      <c r="AW183" s="411"/>
    </row>
    <row r="184" spans="2:49" s="755" customFormat="1" ht="13.5" thickBot="1" x14ac:dyDescent="0.25">
      <c r="B184" s="750" t="s">
        <v>347</v>
      </c>
      <c r="C184" s="642"/>
      <c r="D184" s="642"/>
      <c r="E184" s="642"/>
      <c r="F184" s="642"/>
      <c r="G184" s="642"/>
      <c r="H184" s="642"/>
      <c r="I184" s="642"/>
      <c r="J184" s="642"/>
      <c r="K184" s="642"/>
      <c r="L184" s="642"/>
      <c r="M184" s="642"/>
      <c r="N184" s="642"/>
      <c r="O184" s="642"/>
      <c r="P184" s="642"/>
      <c r="Q184" s="642"/>
      <c r="R184" s="642"/>
      <c r="S184" s="642"/>
      <c r="T184" s="642"/>
      <c r="U184" s="642"/>
      <c r="V184" s="642"/>
      <c r="W184" s="642"/>
      <c r="X184" s="642"/>
      <c r="Y184" s="642"/>
      <c r="Z184" s="642"/>
      <c r="AA184" s="642"/>
      <c r="AB184" s="642"/>
      <c r="AC184" s="720"/>
      <c r="AD184" s="720"/>
      <c r="AE184" s="720"/>
      <c r="AF184" s="720"/>
      <c r="AG184" s="720"/>
      <c r="AH184" s="720"/>
      <c r="AI184" s="756"/>
      <c r="AJ184" s="756"/>
      <c r="AK184" s="756"/>
      <c r="AL184" s="756"/>
      <c r="AM184" s="751"/>
      <c r="AN184" s="751">
        <f>AG16/2</f>
        <v>499370.43403523852</v>
      </c>
      <c r="AO184" s="751">
        <f>AG16</f>
        <v>998740.86807047704</v>
      </c>
      <c r="AP184" s="751">
        <f>AO184</f>
        <v>998740.86807047704</v>
      </c>
      <c r="AQ184" s="751">
        <f t="shared" si="79"/>
        <v>998740.86807047704</v>
      </c>
      <c r="AR184" s="751">
        <f t="shared" si="79"/>
        <v>998740.86807047704</v>
      </c>
      <c r="AS184" s="752">
        <f t="shared" si="79"/>
        <v>998740.86807047704</v>
      </c>
      <c r="AT184" s="757">
        <f t="shared" si="76"/>
        <v>5493074.7743876232</v>
      </c>
      <c r="AU184" s="758"/>
    </row>
    <row r="185" spans="2:49" s="755" customFormat="1" ht="12.75" x14ac:dyDescent="0.2">
      <c r="B185" s="759" t="s">
        <v>348</v>
      </c>
      <c r="C185" s="760"/>
      <c r="D185" s="760"/>
      <c r="E185" s="760"/>
      <c r="F185" s="760"/>
      <c r="G185" s="760"/>
      <c r="H185" s="760"/>
      <c r="I185" s="760"/>
      <c r="J185" s="760"/>
      <c r="K185" s="760"/>
      <c r="L185" s="760"/>
      <c r="M185" s="760"/>
      <c r="N185" s="760"/>
      <c r="O185" s="760"/>
      <c r="P185" s="760"/>
      <c r="Q185" s="760"/>
      <c r="R185" s="760"/>
      <c r="S185" s="760"/>
      <c r="T185" s="760"/>
      <c r="U185" s="760"/>
      <c r="V185" s="760"/>
      <c r="W185" s="760"/>
      <c r="X185" s="760"/>
      <c r="Y185" s="760"/>
      <c r="Z185" s="760"/>
      <c r="AA185" s="760"/>
      <c r="AB185" s="760"/>
      <c r="AC185" s="761"/>
      <c r="AD185" s="761"/>
      <c r="AE185" s="761"/>
      <c r="AF185" s="761"/>
      <c r="AG185" s="761"/>
      <c r="AH185" s="761"/>
      <c r="AI185" s="762"/>
      <c r="AJ185" s="762"/>
      <c r="AK185" s="762"/>
      <c r="AL185" s="762"/>
      <c r="AM185" s="763"/>
      <c r="AN185" s="764"/>
      <c r="AO185" s="764">
        <f>AH16/2</f>
        <v>713503.42</v>
      </c>
      <c r="AP185" s="764">
        <f>AH16</f>
        <v>1427006.84</v>
      </c>
      <c r="AQ185" s="764">
        <f>AP185</f>
        <v>1427006.84</v>
      </c>
      <c r="AR185" s="764">
        <f t="shared" si="79"/>
        <v>1427006.84</v>
      </c>
      <c r="AS185" s="764">
        <f t="shared" si="79"/>
        <v>1427006.84</v>
      </c>
      <c r="AT185" s="765">
        <f t="shared" si="76"/>
        <v>6421530.7800000003</v>
      </c>
      <c r="AU185" s="758"/>
    </row>
    <row r="186" spans="2:49" s="755" customFormat="1" ht="13.5" thickBot="1" x14ac:dyDescent="0.25">
      <c r="B186" s="766" t="s">
        <v>349</v>
      </c>
      <c r="C186" s="760"/>
      <c r="D186" s="760"/>
      <c r="E186" s="760"/>
      <c r="F186" s="760"/>
      <c r="G186" s="760"/>
      <c r="H186" s="760"/>
      <c r="I186" s="760"/>
      <c r="J186" s="760"/>
      <c r="K186" s="760"/>
      <c r="L186" s="760"/>
      <c r="M186" s="760"/>
      <c r="N186" s="760"/>
      <c r="O186" s="760"/>
      <c r="P186" s="760"/>
      <c r="Q186" s="760"/>
      <c r="R186" s="760"/>
      <c r="S186" s="760"/>
      <c r="T186" s="760"/>
      <c r="U186" s="760"/>
      <c r="V186" s="760"/>
      <c r="W186" s="760"/>
      <c r="X186" s="760"/>
      <c r="Y186" s="760"/>
      <c r="Z186" s="760"/>
      <c r="AA186" s="760"/>
      <c r="AB186" s="760"/>
      <c r="AC186" s="761"/>
      <c r="AD186" s="761"/>
      <c r="AE186" s="761"/>
      <c r="AF186" s="761"/>
      <c r="AG186" s="761"/>
      <c r="AH186" s="761"/>
      <c r="AI186" s="762"/>
      <c r="AJ186" s="762"/>
      <c r="AK186" s="762"/>
      <c r="AL186" s="762"/>
      <c r="AM186" s="763"/>
      <c r="AN186" s="764"/>
      <c r="AO186" s="764"/>
      <c r="AP186" s="764">
        <f>AI16/2</f>
        <v>245645.62836000003</v>
      </c>
      <c r="AQ186" s="764">
        <f>AI16</f>
        <v>491291.25672000006</v>
      </c>
      <c r="AR186" s="764">
        <f t="shared" si="79"/>
        <v>491291.25672000006</v>
      </c>
      <c r="AS186" s="764">
        <f t="shared" si="79"/>
        <v>491291.25672000006</v>
      </c>
      <c r="AT186" s="765">
        <f t="shared" si="76"/>
        <v>1719519.3985200003</v>
      </c>
      <c r="AU186" s="758"/>
    </row>
    <row r="187" spans="2:49" s="755" customFormat="1" ht="12.75" x14ac:dyDescent="0.2">
      <c r="B187" s="750" t="s">
        <v>350</v>
      </c>
      <c r="C187" s="760"/>
      <c r="D187" s="760"/>
      <c r="E187" s="760"/>
      <c r="F187" s="760"/>
      <c r="G187" s="760"/>
      <c r="H187" s="760"/>
      <c r="I187" s="760"/>
      <c r="J187" s="760"/>
      <c r="K187" s="760"/>
      <c r="L187" s="760"/>
      <c r="M187" s="760"/>
      <c r="N187" s="760"/>
      <c r="O187" s="760"/>
      <c r="P187" s="760"/>
      <c r="Q187" s="760"/>
      <c r="R187" s="760"/>
      <c r="S187" s="760"/>
      <c r="T187" s="760"/>
      <c r="U187" s="760"/>
      <c r="V187" s="760"/>
      <c r="W187" s="760"/>
      <c r="X187" s="760"/>
      <c r="Y187" s="760"/>
      <c r="Z187" s="760"/>
      <c r="AA187" s="760"/>
      <c r="AB187" s="760"/>
      <c r="AC187" s="761"/>
      <c r="AD187" s="761"/>
      <c r="AE187" s="761"/>
      <c r="AF187" s="761"/>
      <c r="AG187" s="761"/>
      <c r="AH187" s="761"/>
      <c r="AI187" s="762"/>
      <c r="AJ187" s="762"/>
      <c r="AK187" s="762"/>
      <c r="AL187" s="762"/>
      <c r="AM187" s="763"/>
      <c r="AN187" s="764"/>
      <c r="AO187" s="764"/>
      <c r="AP187" s="764"/>
      <c r="AQ187" s="764">
        <f>AJ16/2</f>
        <v>239917.58954437403</v>
      </c>
      <c r="AR187" s="764">
        <f>AJ16</f>
        <v>479835.17908874806</v>
      </c>
      <c r="AS187" s="764">
        <f t="shared" si="79"/>
        <v>479835.17908874806</v>
      </c>
      <c r="AT187" s="765">
        <f t="shared" si="76"/>
        <v>1199587.9477218702</v>
      </c>
      <c r="AU187" s="758"/>
    </row>
    <row r="188" spans="2:49" s="755" customFormat="1" ht="13.5" thickBot="1" x14ac:dyDescent="0.25">
      <c r="B188" s="766" t="s">
        <v>351</v>
      </c>
      <c r="C188" s="760"/>
      <c r="D188" s="760"/>
      <c r="E188" s="760"/>
      <c r="F188" s="760"/>
      <c r="G188" s="760"/>
      <c r="H188" s="760"/>
      <c r="I188" s="760"/>
      <c r="J188" s="760"/>
      <c r="K188" s="760"/>
      <c r="L188" s="760"/>
      <c r="M188" s="760"/>
      <c r="N188" s="760"/>
      <c r="O188" s="760"/>
      <c r="P188" s="760"/>
      <c r="Q188" s="760"/>
      <c r="R188" s="760"/>
      <c r="S188" s="760"/>
      <c r="T188" s="760"/>
      <c r="U188" s="760"/>
      <c r="V188" s="760"/>
      <c r="W188" s="760"/>
      <c r="X188" s="760"/>
      <c r="Y188" s="760"/>
      <c r="Z188" s="760"/>
      <c r="AA188" s="760"/>
      <c r="AB188" s="760"/>
      <c r="AC188" s="761"/>
      <c r="AD188" s="761"/>
      <c r="AE188" s="761"/>
      <c r="AF188" s="761"/>
      <c r="AG188" s="761"/>
      <c r="AH188" s="761"/>
      <c r="AI188" s="762"/>
      <c r="AJ188" s="762"/>
      <c r="AK188" s="762"/>
      <c r="AL188" s="762"/>
      <c r="AM188" s="763"/>
      <c r="AN188" s="764"/>
      <c r="AO188" s="764"/>
      <c r="AP188" s="764"/>
      <c r="AQ188" s="764"/>
      <c r="AR188" s="764">
        <f>AK16/2</f>
        <v>62000</v>
      </c>
      <c r="AS188" s="764">
        <f>AK16</f>
        <v>124000</v>
      </c>
      <c r="AT188" s="765">
        <f t="shared" si="76"/>
        <v>186000</v>
      </c>
      <c r="AU188" s="758"/>
    </row>
    <row r="189" spans="2:49" s="755" customFormat="1" ht="12.75" x14ac:dyDescent="0.2">
      <c r="B189" s="750" t="s">
        <v>352</v>
      </c>
      <c r="C189" s="760"/>
      <c r="D189" s="760"/>
      <c r="E189" s="760"/>
      <c r="F189" s="760"/>
      <c r="G189" s="760"/>
      <c r="H189" s="760"/>
      <c r="I189" s="760"/>
      <c r="J189" s="760"/>
      <c r="K189" s="760"/>
      <c r="L189" s="760"/>
      <c r="M189" s="760"/>
      <c r="N189" s="760"/>
      <c r="O189" s="760"/>
      <c r="P189" s="760"/>
      <c r="Q189" s="760"/>
      <c r="R189" s="760"/>
      <c r="S189" s="760"/>
      <c r="T189" s="760"/>
      <c r="U189" s="760"/>
      <c r="V189" s="760"/>
      <c r="W189" s="760"/>
      <c r="X189" s="760"/>
      <c r="Y189" s="760"/>
      <c r="Z189" s="760"/>
      <c r="AA189" s="760"/>
      <c r="AB189" s="760"/>
      <c r="AC189" s="761"/>
      <c r="AD189" s="761"/>
      <c r="AE189" s="761"/>
      <c r="AF189" s="761"/>
      <c r="AG189" s="761"/>
      <c r="AH189" s="761"/>
      <c r="AI189" s="762"/>
      <c r="AJ189" s="762"/>
      <c r="AK189" s="762"/>
      <c r="AL189" s="762"/>
      <c r="AM189" s="763"/>
      <c r="AN189" s="764"/>
      <c r="AO189" s="764"/>
      <c r="AP189" s="764"/>
      <c r="AQ189" s="764"/>
      <c r="AR189" s="764"/>
      <c r="AS189" s="764">
        <f>AL16/2</f>
        <v>349521.5</v>
      </c>
      <c r="AT189" s="765">
        <f t="shared" si="76"/>
        <v>349521.5</v>
      </c>
      <c r="AU189" s="758"/>
    </row>
    <row r="190" spans="2:49" s="755" customFormat="1" ht="12.75" x14ac:dyDescent="0.2">
      <c r="B190" s="759" t="s">
        <v>353</v>
      </c>
      <c r="C190" s="760"/>
      <c r="D190" s="760"/>
      <c r="E190" s="760"/>
      <c r="F190" s="760"/>
      <c r="G190" s="760"/>
      <c r="H190" s="760"/>
      <c r="I190" s="760"/>
      <c r="J190" s="760"/>
      <c r="K190" s="760"/>
      <c r="L190" s="760"/>
      <c r="M190" s="760"/>
      <c r="N190" s="760"/>
      <c r="O190" s="760"/>
      <c r="P190" s="760"/>
      <c r="Q190" s="760"/>
      <c r="R190" s="760"/>
      <c r="S190" s="760"/>
      <c r="T190" s="760"/>
      <c r="U190" s="760"/>
      <c r="V190" s="760"/>
      <c r="W190" s="760"/>
      <c r="X190" s="760"/>
      <c r="Y190" s="760"/>
      <c r="Z190" s="760"/>
      <c r="AA190" s="760"/>
      <c r="AB190" s="760"/>
      <c r="AC190" s="761"/>
      <c r="AD190" s="761"/>
      <c r="AE190" s="761"/>
      <c r="AF190" s="761"/>
      <c r="AG190" s="761"/>
      <c r="AH190" s="761"/>
      <c r="AI190" s="762"/>
      <c r="AJ190" s="762"/>
      <c r="AK190" s="762"/>
      <c r="AL190" s="762"/>
      <c r="AM190" s="763">
        <f>AC9/2</f>
        <v>2625655.9672554932</v>
      </c>
      <c r="AN190" s="764">
        <f>AC9</f>
        <v>5251311.9345109863</v>
      </c>
      <c r="AO190" s="764">
        <f>AN190</f>
        <v>5251311.9345109863</v>
      </c>
      <c r="AP190" s="764">
        <f t="shared" ref="AP190:AS190" si="80">AO190</f>
        <v>5251311.9345109863</v>
      </c>
      <c r="AQ190" s="764">
        <f t="shared" si="80"/>
        <v>5251311.9345109863</v>
      </c>
      <c r="AR190" s="764">
        <f t="shared" si="80"/>
        <v>5251311.9345109863</v>
      </c>
      <c r="AS190" s="764">
        <f t="shared" si="80"/>
        <v>5251311.9345109863</v>
      </c>
      <c r="AT190" s="765">
        <f t="shared" si="76"/>
        <v>34133527.574321412</v>
      </c>
      <c r="AU190" s="758"/>
    </row>
    <row r="191" spans="2:49" s="755" customFormat="1" ht="12.75" x14ac:dyDescent="0.2">
      <c r="B191" s="759" t="s">
        <v>354</v>
      </c>
      <c r="C191" s="760"/>
      <c r="D191" s="760"/>
      <c r="E191" s="760"/>
      <c r="F191" s="760"/>
      <c r="G191" s="760"/>
      <c r="H191" s="760"/>
      <c r="I191" s="760"/>
      <c r="J191" s="760"/>
      <c r="K191" s="760"/>
      <c r="L191" s="760"/>
      <c r="M191" s="760"/>
      <c r="N191" s="760"/>
      <c r="O191" s="760"/>
      <c r="P191" s="760"/>
      <c r="Q191" s="760"/>
      <c r="R191" s="760"/>
      <c r="S191" s="760"/>
      <c r="T191" s="760"/>
      <c r="U191" s="760"/>
      <c r="V191" s="760"/>
      <c r="W191" s="760"/>
      <c r="X191" s="760"/>
      <c r="Y191" s="760"/>
      <c r="Z191" s="760"/>
      <c r="AA191" s="760"/>
      <c r="AB191" s="760"/>
      <c r="AC191" s="761"/>
      <c r="AD191" s="761"/>
      <c r="AE191" s="761"/>
      <c r="AF191" s="761"/>
      <c r="AG191" s="761"/>
      <c r="AH191" s="761"/>
      <c r="AI191" s="762"/>
      <c r="AJ191" s="762"/>
      <c r="AK191" s="762"/>
      <c r="AL191" s="762"/>
      <c r="AM191" s="763"/>
      <c r="AN191" s="764">
        <f>AD9/2</f>
        <v>20390854.830005396</v>
      </c>
      <c r="AO191" s="764">
        <f>AD9</f>
        <v>40781709.660010792</v>
      </c>
      <c r="AP191" s="764">
        <f>AO191</f>
        <v>40781709.660010792</v>
      </c>
      <c r="AQ191" s="764">
        <f t="shared" ref="AQ191:AS191" si="81">AP191</f>
        <v>40781709.660010792</v>
      </c>
      <c r="AR191" s="764">
        <f t="shared" si="81"/>
        <v>40781709.660010792</v>
      </c>
      <c r="AS191" s="764">
        <f t="shared" si="81"/>
        <v>40781709.660010792</v>
      </c>
      <c r="AT191" s="765">
        <f t="shared" si="76"/>
        <v>224299403.13005933</v>
      </c>
      <c r="AU191" s="758"/>
    </row>
    <row r="192" spans="2:49" s="755" customFormat="1" ht="12.75" x14ac:dyDescent="0.2">
      <c r="B192" s="759" t="s">
        <v>355</v>
      </c>
      <c r="C192" s="760"/>
      <c r="D192" s="760"/>
      <c r="E192" s="760"/>
      <c r="F192" s="760"/>
      <c r="G192" s="760"/>
      <c r="H192" s="760"/>
      <c r="I192" s="760"/>
      <c r="J192" s="760"/>
      <c r="K192" s="760"/>
      <c r="L192" s="760"/>
      <c r="M192" s="760"/>
      <c r="N192" s="760"/>
      <c r="O192" s="760"/>
      <c r="P192" s="760"/>
      <c r="Q192" s="760"/>
      <c r="R192" s="760"/>
      <c r="S192" s="760"/>
      <c r="T192" s="760"/>
      <c r="U192" s="760"/>
      <c r="V192" s="760"/>
      <c r="W192" s="760"/>
      <c r="X192" s="760"/>
      <c r="Y192" s="760"/>
      <c r="Z192" s="760"/>
      <c r="AA192" s="760"/>
      <c r="AB192" s="760"/>
      <c r="AC192" s="761"/>
      <c r="AD192" s="761"/>
      <c r="AE192" s="761"/>
      <c r="AF192" s="761"/>
      <c r="AG192" s="761"/>
      <c r="AH192" s="761"/>
      <c r="AI192" s="762"/>
      <c r="AJ192" s="762"/>
      <c r="AK192" s="762"/>
      <c r="AL192" s="762"/>
      <c r="AM192" s="763"/>
      <c r="AN192" s="764"/>
      <c r="AO192" s="764">
        <f>AE9/2</f>
        <v>240816.22737009259</v>
      </c>
      <c r="AP192" s="764">
        <f>AE9</f>
        <v>481632.45474018517</v>
      </c>
      <c r="AQ192" s="764">
        <f>AP192</f>
        <v>481632.45474018517</v>
      </c>
      <c r="AR192" s="764">
        <f t="shared" ref="AR192:AS192" si="82">AQ192</f>
        <v>481632.45474018517</v>
      </c>
      <c r="AS192" s="764">
        <f t="shared" si="82"/>
        <v>481632.45474018517</v>
      </c>
      <c r="AT192" s="765">
        <f t="shared" si="76"/>
        <v>2167346.0463308333</v>
      </c>
      <c r="AU192" s="758"/>
    </row>
    <row r="193" spans="2:48" s="755" customFormat="1" ht="12.75" x14ac:dyDescent="0.2">
      <c r="B193" s="759" t="s">
        <v>356</v>
      </c>
      <c r="C193" s="760"/>
      <c r="D193" s="760"/>
      <c r="E193" s="760"/>
      <c r="F193" s="760"/>
      <c r="G193" s="760"/>
      <c r="H193" s="760"/>
      <c r="I193" s="760"/>
      <c r="J193" s="760"/>
      <c r="K193" s="760"/>
      <c r="L193" s="760"/>
      <c r="M193" s="760"/>
      <c r="N193" s="760"/>
      <c r="O193" s="760"/>
      <c r="P193" s="760"/>
      <c r="Q193" s="760"/>
      <c r="R193" s="760"/>
      <c r="S193" s="760"/>
      <c r="T193" s="760"/>
      <c r="U193" s="760"/>
      <c r="V193" s="760"/>
      <c r="W193" s="760"/>
      <c r="X193" s="760"/>
      <c r="Y193" s="760"/>
      <c r="Z193" s="760"/>
      <c r="AA193" s="760"/>
      <c r="AB193" s="760"/>
      <c r="AC193" s="761"/>
      <c r="AD193" s="761"/>
      <c r="AE193" s="761"/>
      <c r="AF193" s="761"/>
      <c r="AG193" s="761"/>
      <c r="AH193" s="761"/>
      <c r="AI193" s="762"/>
      <c r="AJ193" s="762"/>
      <c r="AK193" s="762"/>
      <c r="AL193" s="762"/>
      <c r="AM193" s="763"/>
      <c r="AN193" s="764"/>
      <c r="AO193" s="764"/>
      <c r="AP193" s="764">
        <f>AF9/2</f>
        <v>2859518.9105839413</v>
      </c>
      <c r="AQ193" s="764">
        <f>AF9</f>
        <v>5719037.8211678825</v>
      </c>
      <c r="AR193" s="764">
        <f>AQ193</f>
        <v>5719037.8211678825</v>
      </c>
      <c r="AS193" s="764">
        <f>AR193</f>
        <v>5719037.8211678825</v>
      </c>
      <c r="AT193" s="765">
        <f t="shared" si="76"/>
        <v>20016632.374087587</v>
      </c>
      <c r="AU193" s="758"/>
    </row>
    <row r="194" spans="2:48" s="755" customFormat="1" ht="12.75" x14ac:dyDescent="0.2">
      <c r="B194" s="759" t="s">
        <v>357</v>
      </c>
      <c r="C194" s="760"/>
      <c r="D194" s="760"/>
      <c r="E194" s="760"/>
      <c r="F194" s="760"/>
      <c r="G194" s="760"/>
      <c r="H194" s="760"/>
      <c r="I194" s="760"/>
      <c r="J194" s="760"/>
      <c r="K194" s="760"/>
      <c r="L194" s="760"/>
      <c r="M194" s="760"/>
      <c r="N194" s="760"/>
      <c r="O194" s="760"/>
      <c r="P194" s="760"/>
      <c r="Q194" s="760"/>
      <c r="R194" s="760"/>
      <c r="S194" s="760"/>
      <c r="T194" s="760"/>
      <c r="U194" s="760"/>
      <c r="V194" s="760"/>
      <c r="W194" s="760"/>
      <c r="X194" s="760"/>
      <c r="Y194" s="760"/>
      <c r="Z194" s="760"/>
      <c r="AA194" s="760"/>
      <c r="AB194" s="760"/>
      <c r="AC194" s="761"/>
      <c r="AD194" s="761"/>
      <c r="AE194" s="761"/>
      <c r="AF194" s="761"/>
      <c r="AG194" s="761"/>
      <c r="AH194" s="761"/>
      <c r="AI194" s="762"/>
      <c r="AJ194" s="762"/>
      <c r="AK194" s="762"/>
      <c r="AL194" s="762"/>
      <c r="AM194" s="763"/>
      <c r="AN194" s="764"/>
      <c r="AO194" s="764"/>
      <c r="AP194" s="764"/>
      <c r="AQ194" s="764">
        <f>AG9/2</f>
        <v>10308175.964729188</v>
      </c>
      <c r="AR194" s="764">
        <f>AG9</f>
        <v>20616351.929458376</v>
      </c>
      <c r="AS194" s="764">
        <f>AR194</f>
        <v>20616351.929458376</v>
      </c>
      <c r="AT194" s="765">
        <f t="shared" si="76"/>
        <v>51540879.823645934</v>
      </c>
      <c r="AU194" s="758"/>
    </row>
    <row r="195" spans="2:48" s="755" customFormat="1" ht="12.75" x14ac:dyDescent="0.2">
      <c r="B195" s="759" t="s">
        <v>358</v>
      </c>
      <c r="C195" s="760"/>
      <c r="D195" s="760"/>
      <c r="E195" s="760"/>
      <c r="F195" s="760"/>
      <c r="G195" s="760"/>
      <c r="H195" s="760"/>
      <c r="I195" s="760"/>
      <c r="J195" s="760"/>
      <c r="K195" s="760"/>
      <c r="L195" s="760"/>
      <c r="M195" s="760"/>
      <c r="N195" s="760"/>
      <c r="O195" s="760"/>
      <c r="P195" s="760"/>
      <c r="Q195" s="760"/>
      <c r="R195" s="760"/>
      <c r="S195" s="760"/>
      <c r="T195" s="760"/>
      <c r="U195" s="760"/>
      <c r="V195" s="760"/>
      <c r="W195" s="760"/>
      <c r="X195" s="760"/>
      <c r="Y195" s="760"/>
      <c r="Z195" s="760"/>
      <c r="AA195" s="760"/>
      <c r="AB195" s="760"/>
      <c r="AC195" s="761"/>
      <c r="AD195" s="761"/>
      <c r="AE195" s="761"/>
      <c r="AF195" s="761"/>
      <c r="AG195" s="761"/>
      <c r="AH195" s="761"/>
      <c r="AI195" s="762"/>
      <c r="AJ195" s="762"/>
      <c r="AK195" s="762"/>
      <c r="AL195" s="762"/>
      <c r="AM195" s="763"/>
      <c r="AN195" s="764"/>
      <c r="AO195" s="764"/>
      <c r="AP195" s="764"/>
      <c r="AQ195" s="764"/>
      <c r="AR195" s="764">
        <f>AH9/2</f>
        <v>1605780.7460254002</v>
      </c>
      <c r="AS195" s="764">
        <f>AH9</f>
        <v>3211561.4920508005</v>
      </c>
      <c r="AT195" s="765">
        <f t="shared" si="76"/>
        <v>4817342.2380762007</v>
      </c>
      <c r="AU195" s="758"/>
    </row>
    <row r="196" spans="2:48" s="755" customFormat="1" ht="13.5" thickBot="1" x14ac:dyDescent="0.25">
      <c r="B196" s="767" t="s">
        <v>359</v>
      </c>
      <c r="C196" s="768"/>
      <c r="D196" s="768"/>
      <c r="E196" s="768"/>
      <c r="F196" s="768"/>
      <c r="G196" s="768"/>
      <c r="H196" s="768"/>
      <c r="I196" s="768"/>
      <c r="J196" s="768"/>
      <c r="K196" s="768"/>
      <c r="L196" s="768"/>
      <c r="M196" s="768"/>
      <c r="N196" s="768"/>
      <c r="O196" s="768"/>
      <c r="P196" s="768"/>
      <c r="Q196" s="768"/>
      <c r="R196" s="768"/>
      <c r="S196" s="768"/>
      <c r="T196" s="768"/>
      <c r="U196" s="768"/>
      <c r="V196" s="768"/>
      <c r="W196" s="768"/>
      <c r="X196" s="768"/>
      <c r="Y196" s="768"/>
      <c r="Z196" s="768"/>
      <c r="AA196" s="768"/>
      <c r="AB196" s="768"/>
      <c r="AC196" s="769"/>
      <c r="AD196" s="769"/>
      <c r="AE196" s="769"/>
      <c r="AF196" s="769"/>
      <c r="AG196" s="769"/>
      <c r="AH196" s="769"/>
      <c r="AI196" s="770"/>
      <c r="AJ196" s="770"/>
      <c r="AK196" s="770"/>
      <c r="AL196" s="770"/>
      <c r="AM196" s="771"/>
      <c r="AN196" s="772"/>
      <c r="AO196" s="772"/>
      <c r="AP196" s="772"/>
      <c r="AQ196" s="772"/>
      <c r="AR196" s="772"/>
      <c r="AS196" s="772">
        <f>AI9/2</f>
        <v>925894.46773336548</v>
      </c>
      <c r="AT196" s="773">
        <f t="shared" si="76"/>
        <v>925894.46773336548</v>
      </c>
      <c r="AU196" s="758"/>
    </row>
    <row r="197" spans="2:48" s="755" customFormat="1" ht="12.75" x14ac:dyDescent="0.2">
      <c r="B197" s="759" t="s">
        <v>360</v>
      </c>
      <c r="C197" s="760"/>
      <c r="D197" s="760"/>
      <c r="E197" s="760"/>
      <c r="F197" s="760"/>
      <c r="G197" s="760"/>
      <c r="H197" s="760"/>
      <c r="I197" s="760"/>
      <c r="J197" s="760"/>
      <c r="K197" s="760"/>
      <c r="L197" s="760"/>
      <c r="M197" s="760"/>
      <c r="N197" s="760"/>
      <c r="O197" s="760"/>
      <c r="P197" s="760"/>
      <c r="Q197" s="760"/>
      <c r="R197" s="760"/>
      <c r="S197" s="760"/>
      <c r="T197" s="760"/>
      <c r="U197" s="760"/>
      <c r="V197" s="760"/>
      <c r="W197" s="760"/>
      <c r="X197" s="760"/>
      <c r="Y197" s="760"/>
      <c r="Z197" s="760"/>
      <c r="AA197" s="760"/>
      <c r="AB197" s="760"/>
      <c r="AC197" s="761"/>
      <c r="AD197" s="761"/>
      <c r="AE197" s="761"/>
      <c r="AF197" s="761"/>
      <c r="AG197" s="761"/>
      <c r="AH197" s="761"/>
      <c r="AI197" s="762"/>
      <c r="AJ197" s="762"/>
      <c r="AK197" s="762"/>
      <c r="AL197" s="762"/>
      <c r="AM197" s="763">
        <f>N14/2</f>
        <v>1206870.4763962408</v>
      </c>
      <c r="AN197" s="764">
        <f>N14</f>
        <v>2413740.9527924815</v>
      </c>
      <c r="AO197" s="764">
        <f>AN197</f>
        <v>2413740.9527924815</v>
      </c>
      <c r="AP197" s="764">
        <f t="shared" ref="AP197:AR197" si="83">AO197</f>
        <v>2413740.9527924815</v>
      </c>
      <c r="AQ197" s="764">
        <f t="shared" si="83"/>
        <v>2413740.9527924815</v>
      </c>
      <c r="AR197" s="764">
        <f t="shared" si="83"/>
        <v>2413740.9527924815</v>
      </c>
      <c r="AS197" s="764">
        <f>AR197</f>
        <v>2413740.9527924815</v>
      </c>
      <c r="AT197" s="765">
        <f t="shared" si="76"/>
        <v>15689316.193151128</v>
      </c>
      <c r="AU197" s="758"/>
    </row>
    <row r="198" spans="2:48" s="755" customFormat="1" ht="12.75" x14ac:dyDescent="0.2">
      <c r="B198" s="759" t="s">
        <v>361</v>
      </c>
      <c r="C198" s="760"/>
      <c r="D198" s="760"/>
      <c r="E198" s="760"/>
      <c r="F198" s="760"/>
      <c r="G198" s="760"/>
      <c r="H198" s="760"/>
      <c r="I198" s="760"/>
      <c r="J198" s="760"/>
      <c r="K198" s="760"/>
      <c r="L198" s="760"/>
      <c r="M198" s="760"/>
      <c r="N198" s="760"/>
      <c r="O198" s="760"/>
      <c r="P198" s="760"/>
      <c r="Q198" s="760"/>
      <c r="R198" s="760"/>
      <c r="S198" s="760"/>
      <c r="T198" s="760"/>
      <c r="U198" s="760"/>
      <c r="V198" s="760"/>
      <c r="W198" s="760"/>
      <c r="X198" s="760"/>
      <c r="Y198" s="760"/>
      <c r="Z198" s="760"/>
      <c r="AA198" s="760"/>
      <c r="AB198" s="760"/>
      <c r="AC198" s="761"/>
      <c r="AD198" s="761"/>
      <c r="AE198" s="761"/>
      <c r="AF198" s="761"/>
      <c r="AG198" s="761"/>
      <c r="AH198" s="761"/>
      <c r="AI198" s="762"/>
      <c r="AJ198" s="762"/>
      <c r="AK198" s="762"/>
      <c r="AL198" s="762"/>
      <c r="AM198" s="763"/>
      <c r="AN198" s="764">
        <f>O14/2</f>
        <v>7959295.6681430275</v>
      </c>
      <c r="AO198" s="764">
        <f>O14</f>
        <v>15918591.336286055</v>
      </c>
      <c r="AP198" s="764">
        <f>AO198</f>
        <v>15918591.336286055</v>
      </c>
      <c r="AQ198" s="764">
        <f t="shared" ref="AQ198:AS198" si="84">AP198</f>
        <v>15918591.336286055</v>
      </c>
      <c r="AR198" s="764">
        <f t="shared" si="84"/>
        <v>15918591.336286055</v>
      </c>
      <c r="AS198" s="764">
        <f t="shared" si="84"/>
        <v>15918591.336286055</v>
      </c>
      <c r="AT198" s="765">
        <f t="shared" si="76"/>
        <v>87552252.349573299</v>
      </c>
      <c r="AU198" s="758"/>
    </row>
    <row r="199" spans="2:48" s="755" customFormat="1" ht="12.75" x14ac:dyDescent="0.2">
      <c r="B199" s="759" t="s">
        <v>362</v>
      </c>
      <c r="C199" s="760"/>
      <c r="D199" s="760"/>
      <c r="E199" s="760"/>
      <c r="F199" s="760"/>
      <c r="G199" s="760"/>
      <c r="H199" s="760"/>
      <c r="I199" s="760"/>
      <c r="J199" s="760"/>
      <c r="K199" s="760"/>
      <c r="L199" s="760"/>
      <c r="M199" s="760"/>
      <c r="N199" s="760"/>
      <c r="O199" s="760"/>
      <c r="P199" s="760"/>
      <c r="Q199" s="760"/>
      <c r="R199" s="760"/>
      <c r="S199" s="760"/>
      <c r="T199" s="760"/>
      <c r="U199" s="760"/>
      <c r="V199" s="760"/>
      <c r="W199" s="760"/>
      <c r="X199" s="760"/>
      <c r="Y199" s="760"/>
      <c r="Z199" s="760"/>
      <c r="AA199" s="760"/>
      <c r="AB199" s="760"/>
      <c r="AC199" s="761"/>
      <c r="AD199" s="761"/>
      <c r="AE199" s="761"/>
      <c r="AF199" s="761"/>
      <c r="AG199" s="761"/>
      <c r="AH199" s="761"/>
      <c r="AI199" s="762"/>
      <c r="AJ199" s="762"/>
      <c r="AK199" s="762"/>
      <c r="AL199" s="762"/>
      <c r="AM199" s="763"/>
      <c r="AN199" s="764"/>
      <c r="AO199" s="764">
        <f>P14/2</f>
        <v>12421086.745165821</v>
      </c>
      <c r="AP199" s="764">
        <f>P14</f>
        <v>24842173.490331642</v>
      </c>
      <c r="AQ199" s="764">
        <f>AP199</f>
        <v>24842173.490331642</v>
      </c>
      <c r="AR199" s="764">
        <f t="shared" ref="AR199:AS199" si="85">AQ199</f>
        <v>24842173.490331642</v>
      </c>
      <c r="AS199" s="764">
        <f t="shared" si="85"/>
        <v>24842173.490331642</v>
      </c>
      <c r="AT199" s="765">
        <f t="shared" si="76"/>
        <v>111789780.70649239</v>
      </c>
      <c r="AU199" s="758"/>
    </row>
    <row r="200" spans="2:48" s="755" customFormat="1" ht="12.75" x14ac:dyDescent="0.2">
      <c r="B200" s="759" t="s">
        <v>363</v>
      </c>
      <c r="C200" s="760"/>
      <c r="D200" s="760"/>
      <c r="E200" s="760"/>
      <c r="F200" s="760"/>
      <c r="G200" s="760"/>
      <c r="H200" s="760"/>
      <c r="I200" s="760"/>
      <c r="J200" s="760"/>
      <c r="K200" s="760"/>
      <c r="L200" s="760"/>
      <c r="M200" s="760"/>
      <c r="N200" s="760"/>
      <c r="O200" s="760"/>
      <c r="P200" s="760"/>
      <c r="Q200" s="760"/>
      <c r="R200" s="760"/>
      <c r="S200" s="760"/>
      <c r="T200" s="760"/>
      <c r="U200" s="760"/>
      <c r="V200" s="760"/>
      <c r="W200" s="760"/>
      <c r="X200" s="760"/>
      <c r="Y200" s="760"/>
      <c r="Z200" s="760"/>
      <c r="AA200" s="760"/>
      <c r="AB200" s="760"/>
      <c r="AC200" s="761"/>
      <c r="AD200" s="761"/>
      <c r="AE200" s="761"/>
      <c r="AF200" s="761"/>
      <c r="AG200" s="761"/>
      <c r="AH200" s="761"/>
      <c r="AI200" s="762"/>
      <c r="AJ200" s="762"/>
      <c r="AK200" s="762"/>
      <c r="AL200" s="762"/>
      <c r="AM200" s="763"/>
      <c r="AN200" s="764"/>
      <c r="AO200" s="764"/>
      <c r="AP200" s="764">
        <f>Q14/2</f>
        <v>12006830</v>
      </c>
      <c r="AQ200" s="764">
        <f>Q14</f>
        <v>24013660</v>
      </c>
      <c r="AR200" s="764">
        <f>AQ200</f>
        <v>24013660</v>
      </c>
      <c r="AS200" s="764">
        <f>AR200</f>
        <v>24013660</v>
      </c>
      <c r="AT200" s="765">
        <f t="shared" si="76"/>
        <v>84047810</v>
      </c>
      <c r="AU200" s="758"/>
    </row>
    <row r="201" spans="2:48" s="755" customFormat="1" ht="12.75" x14ac:dyDescent="0.2">
      <c r="B201" s="759" t="s">
        <v>364</v>
      </c>
      <c r="C201" s="760"/>
      <c r="D201" s="760"/>
      <c r="E201" s="760"/>
      <c r="F201" s="760"/>
      <c r="G201" s="760"/>
      <c r="H201" s="760"/>
      <c r="I201" s="760"/>
      <c r="J201" s="760"/>
      <c r="K201" s="760"/>
      <c r="L201" s="760"/>
      <c r="M201" s="760"/>
      <c r="N201" s="760"/>
      <c r="O201" s="760"/>
      <c r="P201" s="760"/>
      <c r="Q201" s="760"/>
      <c r="R201" s="760"/>
      <c r="S201" s="760"/>
      <c r="T201" s="760"/>
      <c r="U201" s="760"/>
      <c r="V201" s="760"/>
      <c r="W201" s="760"/>
      <c r="X201" s="760"/>
      <c r="Y201" s="760"/>
      <c r="Z201" s="760"/>
      <c r="AA201" s="760"/>
      <c r="AB201" s="760"/>
      <c r="AC201" s="761"/>
      <c r="AD201" s="761"/>
      <c r="AE201" s="761"/>
      <c r="AF201" s="761"/>
      <c r="AG201" s="761"/>
      <c r="AH201" s="761"/>
      <c r="AI201" s="762"/>
      <c r="AJ201" s="762"/>
      <c r="AK201" s="762"/>
      <c r="AL201" s="762"/>
      <c r="AM201" s="763"/>
      <c r="AN201" s="764"/>
      <c r="AO201" s="764"/>
      <c r="AP201" s="764"/>
      <c r="AQ201" s="764">
        <f>R14/2</f>
        <v>13913874.5</v>
      </c>
      <c r="AR201" s="764">
        <f>R14</f>
        <v>27827749</v>
      </c>
      <c r="AS201" s="764">
        <f>AR201</f>
        <v>27827749</v>
      </c>
      <c r="AT201" s="765">
        <f t="shared" si="76"/>
        <v>69569372.5</v>
      </c>
      <c r="AU201" s="758"/>
    </row>
    <row r="202" spans="2:48" s="755" customFormat="1" ht="12.75" x14ac:dyDescent="0.2">
      <c r="B202" s="759" t="s">
        <v>365</v>
      </c>
      <c r="C202" s="760"/>
      <c r="D202" s="760"/>
      <c r="E202" s="760"/>
      <c r="F202" s="760"/>
      <c r="G202" s="760"/>
      <c r="H202" s="760"/>
      <c r="I202" s="760"/>
      <c r="J202" s="760"/>
      <c r="K202" s="760"/>
      <c r="L202" s="760"/>
      <c r="M202" s="760"/>
      <c r="N202" s="760"/>
      <c r="O202" s="760"/>
      <c r="P202" s="760"/>
      <c r="Q202" s="760"/>
      <c r="R202" s="760"/>
      <c r="S202" s="760"/>
      <c r="T202" s="760"/>
      <c r="U202" s="760"/>
      <c r="V202" s="760"/>
      <c r="W202" s="760"/>
      <c r="X202" s="760"/>
      <c r="Y202" s="760"/>
      <c r="Z202" s="760"/>
      <c r="AA202" s="760"/>
      <c r="AB202" s="760"/>
      <c r="AC202" s="761"/>
      <c r="AD202" s="761"/>
      <c r="AE202" s="761"/>
      <c r="AF202" s="761"/>
      <c r="AG202" s="761"/>
      <c r="AH202" s="761"/>
      <c r="AI202" s="762"/>
      <c r="AJ202" s="762"/>
      <c r="AK202" s="762"/>
      <c r="AL202" s="762"/>
      <c r="AM202" s="763"/>
      <c r="AN202" s="764"/>
      <c r="AO202" s="764"/>
      <c r="AP202" s="764"/>
      <c r="AQ202" s="764"/>
      <c r="AR202" s="764">
        <f>S14/2</f>
        <v>16866147</v>
      </c>
      <c r="AS202" s="764">
        <f>S14</f>
        <v>33732294</v>
      </c>
      <c r="AT202" s="765">
        <f t="shared" si="76"/>
        <v>50598441</v>
      </c>
      <c r="AU202" s="758"/>
    </row>
    <row r="203" spans="2:48" s="755" customFormat="1" ht="12.75" x14ac:dyDescent="0.2">
      <c r="B203" s="759" t="s">
        <v>366</v>
      </c>
      <c r="C203" s="760"/>
      <c r="D203" s="760"/>
      <c r="E203" s="760"/>
      <c r="F203" s="760"/>
      <c r="G203" s="760"/>
      <c r="H203" s="760"/>
      <c r="I203" s="760"/>
      <c r="J203" s="760"/>
      <c r="K203" s="760"/>
      <c r="L203" s="760"/>
      <c r="M203" s="760"/>
      <c r="N203" s="760"/>
      <c r="O203" s="760"/>
      <c r="P203" s="760"/>
      <c r="Q203" s="760"/>
      <c r="R203" s="760"/>
      <c r="S203" s="760"/>
      <c r="T203" s="760"/>
      <c r="U203" s="760"/>
      <c r="V203" s="760"/>
      <c r="W203" s="760"/>
      <c r="X203" s="760"/>
      <c r="Y203" s="760"/>
      <c r="Z203" s="760"/>
      <c r="AA203" s="760"/>
      <c r="AB203" s="760"/>
      <c r="AC203" s="761"/>
      <c r="AD203" s="761"/>
      <c r="AE203" s="761"/>
      <c r="AF203" s="761"/>
      <c r="AG203" s="761"/>
      <c r="AH203" s="761"/>
      <c r="AI203" s="762"/>
      <c r="AJ203" s="762"/>
      <c r="AK203" s="762"/>
      <c r="AL203" s="762"/>
      <c r="AM203" s="763"/>
      <c r="AN203" s="764"/>
      <c r="AO203" s="764"/>
      <c r="AP203" s="764"/>
      <c r="AQ203" s="764"/>
      <c r="AR203" s="764"/>
      <c r="AS203" s="764">
        <f>T14/2</f>
        <v>8409637.5</v>
      </c>
      <c r="AT203" s="765">
        <f t="shared" si="76"/>
        <v>8409637.5</v>
      </c>
      <c r="AU203" s="758"/>
    </row>
    <row r="204" spans="2:48" s="755" customFormat="1" ht="13.5" thickBot="1" x14ac:dyDescent="0.25">
      <c r="B204" s="774" t="s">
        <v>367</v>
      </c>
      <c r="C204" s="775">
        <f t="shared" ref="C204:AL204" si="86">SUM(C119:C184)</f>
        <v>0</v>
      </c>
      <c r="D204" s="775">
        <f t="shared" si="86"/>
        <v>0</v>
      </c>
      <c r="E204" s="775">
        <f t="shared" si="86"/>
        <v>0</v>
      </c>
      <c r="F204" s="775">
        <f t="shared" si="86"/>
        <v>0</v>
      </c>
      <c r="G204" s="775">
        <f t="shared" si="86"/>
        <v>0</v>
      </c>
      <c r="H204" s="775">
        <f t="shared" si="86"/>
        <v>0</v>
      </c>
      <c r="I204" s="775">
        <f t="shared" si="86"/>
        <v>0</v>
      </c>
      <c r="J204" s="775">
        <f t="shared" si="86"/>
        <v>0</v>
      </c>
      <c r="K204" s="775">
        <f t="shared" si="86"/>
        <v>0</v>
      </c>
      <c r="L204" s="775">
        <f t="shared" si="86"/>
        <v>0</v>
      </c>
      <c r="M204" s="775">
        <f t="shared" si="86"/>
        <v>0</v>
      </c>
      <c r="N204" s="775">
        <f t="shared" si="86"/>
        <v>0</v>
      </c>
      <c r="O204" s="775">
        <f t="shared" si="86"/>
        <v>0</v>
      </c>
      <c r="P204" s="775">
        <f t="shared" si="86"/>
        <v>0</v>
      </c>
      <c r="Q204" s="775">
        <f t="shared" si="86"/>
        <v>0</v>
      </c>
      <c r="R204" s="775">
        <f t="shared" si="86"/>
        <v>0</v>
      </c>
      <c r="S204" s="775">
        <f t="shared" si="86"/>
        <v>0</v>
      </c>
      <c r="T204" s="775">
        <f t="shared" si="86"/>
        <v>0</v>
      </c>
      <c r="U204" s="775">
        <f t="shared" si="86"/>
        <v>0</v>
      </c>
      <c r="V204" s="775">
        <f t="shared" si="86"/>
        <v>0</v>
      </c>
      <c r="W204" s="775">
        <f t="shared" si="86"/>
        <v>2695103.7053040941</v>
      </c>
      <c r="X204" s="775">
        <f t="shared" si="86"/>
        <v>13075688.668035001</v>
      </c>
      <c r="Y204" s="775">
        <f t="shared" si="86"/>
        <v>28259821.756508589</v>
      </c>
      <c r="Z204" s="775">
        <f t="shared" si="86"/>
        <v>52967833.531381667</v>
      </c>
      <c r="AA204" s="775">
        <f t="shared" si="86"/>
        <v>93038239.913362861</v>
      </c>
      <c r="AB204" s="775">
        <f t="shared" si="86"/>
        <v>166639652.02074105</v>
      </c>
      <c r="AC204" s="775">
        <f t="shared" si="86"/>
        <v>255759040.59155235</v>
      </c>
      <c r="AD204" s="775">
        <f t="shared" si="86"/>
        <v>342422311.08955389</v>
      </c>
      <c r="AE204" s="775">
        <f t="shared" si="86"/>
        <v>438183415.65906894</v>
      </c>
      <c r="AF204" s="775">
        <f t="shared" si="86"/>
        <v>540312269.64669979</v>
      </c>
      <c r="AG204" s="775">
        <f t="shared" si="86"/>
        <v>670643165.72034144</v>
      </c>
      <c r="AH204" s="775">
        <f t="shared" si="86"/>
        <v>839978536.34144962</v>
      </c>
      <c r="AI204" s="476">
        <f t="shared" si="86"/>
        <v>1003140272.2128527</v>
      </c>
      <c r="AJ204" s="476">
        <f t="shared" si="86"/>
        <v>1152337852.9302702</v>
      </c>
      <c r="AK204" s="476">
        <f t="shared" si="86"/>
        <v>1295550687.8577993</v>
      </c>
      <c r="AL204" s="476">
        <f t="shared" si="86"/>
        <v>1418650507.7265165</v>
      </c>
      <c r="AM204" s="775">
        <f>SUM(AM119:AM203)</f>
        <v>1549981101.6373057</v>
      </c>
      <c r="AN204" s="775">
        <f t="shared" ref="AN204:AS204" si="87">SUM(AN119:AN203)</f>
        <v>1694071544.1310792</v>
      </c>
      <c r="AO204" s="775">
        <f t="shared" si="87"/>
        <v>1825733203.5156562</v>
      </c>
      <c r="AP204" s="775">
        <f t="shared" si="87"/>
        <v>1947156422.3517451</v>
      </c>
      <c r="AQ204" s="775">
        <f t="shared" si="87"/>
        <v>2086428509.064281</v>
      </c>
      <c r="AR204" s="775">
        <f t="shared" si="87"/>
        <v>2207208794.6362877</v>
      </c>
      <c r="AS204" s="775">
        <f t="shared" si="87"/>
        <v>2292115353.5352607</v>
      </c>
      <c r="AT204" s="776">
        <f>SUM(AT119:AT203)</f>
        <v>21916349328.243038</v>
      </c>
      <c r="AU204" s="758"/>
    </row>
    <row r="205" spans="2:48" s="754" customFormat="1" ht="13.5" thickTop="1" x14ac:dyDescent="0.2">
      <c r="B205" s="777"/>
      <c r="C205" s="778"/>
      <c r="D205" s="778"/>
      <c r="E205" s="778"/>
      <c r="F205" s="778"/>
      <c r="G205" s="778"/>
      <c r="H205" s="778"/>
      <c r="I205" s="778"/>
      <c r="J205" s="778"/>
      <c r="K205" s="778"/>
      <c r="L205" s="778"/>
      <c r="M205" s="778"/>
      <c r="N205" s="778"/>
      <c r="O205" s="778"/>
      <c r="P205" s="778"/>
      <c r="Q205" s="778"/>
      <c r="R205" s="778"/>
      <c r="S205" s="778"/>
      <c r="T205" s="778"/>
      <c r="U205" s="778"/>
      <c r="V205" s="778"/>
      <c r="W205" s="779"/>
      <c r="X205" s="779"/>
      <c r="Y205" s="779"/>
      <c r="Z205" s="779"/>
      <c r="AA205" s="779"/>
      <c r="AB205" s="779"/>
      <c r="AC205" s="779"/>
      <c r="AD205" s="779"/>
      <c r="AE205" s="779"/>
      <c r="AF205" s="779"/>
      <c r="AG205" s="779"/>
      <c r="AH205" s="779"/>
      <c r="AI205" s="780"/>
      <c r="AJ205" s="780"/>
      <c r="AK205" s="780"/>
      <c r="AL205" s="780"/>
      <c r="AM205" s="780"/>
      <c r="AN205" s="359"/>
      <c r="AO205" s="359"/>
      <c r="AP205" s="359"/>
      <c r="AQ205" s="359"/>
      <c r="AR205" s="359"/>
      <c r="AS205" s="359"/>
      <c r="AT205" s="110">
        <f>SUM(AT119:AT203)</f>
        <v>21916349328.243038</v>
      </c>
    </row>
    <row r="206" spans="2:48" s="754" customFormat="1" ht="13.5" thickBot="1" x14ac:dyDescent="0.25">
      <c r="B206" s="307"/>
      <c r="C206" s="307"/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10"/>
      <c r="AD206" s="310"/>
      <c r="AE206" s="310"/>
      <c r="AF206" s="310"/>
      <c r="AG206" s="310"/>
      <c r="AH206" s="310"/>
      <c r="AI206" s="781"/>
      <c r="AJ206" s="781"/>
      <c r="AK206" s="781"/>
      <c r="AL206" s="781"/>
      <c r="AM206" s="781"/>
      <c r="AN206" s="781"/>
      <c r="AO206" s="781"/>
      <c r="AP206" s="781"/>
      <c r="AQ206" s="781"/>
      <c r="AR206" s="781"/>
      <c r="AS206" s="781"/>
      <c r="AT206" s="38"/>
      <c r="AU206" s="411"/>
      <c r="AV206" s="411"/>
    </row>
    <row r="207" spans="2:48" s="754" customFormat="1" ht="13.5" thickTop="1" x14ac:dyDescent="0.2">
      <c r="B207" s="411"/>
      <c r="C207" s="782" t="s">
        <v>368</v>
      </c>
      <c r="D207" s="783"/>
      <c r="E207" s="783"/>
      <c r="F207" s="783"/>
      <c r="G207" s="783"/>
      <c r="H207" s="783"/>
      <c r="I207" s="783"/>
      <c r="J207" s="783"/>
      <c r="K207" s="783"/>
      <c r="L207" s="783"/>
      <c r="M207" s="783"/>
      <c r="N207" s="783"/>
      <c r="O207" s="783"/>
      <c r="P207" s="783"/>
      <c r="Q207" s="783"/>
      <c r="R207" s="783"/>
      <c r="S207" s="783"/>
      <c r="T207" s="783"/>
      <c r="U207" s="783"/>
      <c r="V207" s="783"/>
      <c r="W207" s="783"/>
      <c r="X207" s="783"/>
      <c r="Y207" s="783"/>
      <c r="Z207" s="783"/>
      <c r="AA207" s="783"/>
      <c r="AB207" s="783"/>
      <c r="AC207" s="784"/>
      <c r="AD207" s="784"/>
      <c r="AE207" s="784"/>
      <c r="AF207" s="784"/>
      <c r="AG207" s="784"/>
      <c r="AH207" s="784"/>
      <c r="AI207" s="785"/>
      <c r="AJ207" s="785"/>
      <c r="AK207" s="785"/>
      <c r="AL207" s="785"/>
      <c r="AM207" s="785"/>
      <c r="AN207" s="785"/>
      <c r="AO207" s="785"/>
      <c r="AP207" s="785"/>
      <c r="AQ207" s="785"/>
      <c r="AR207" s="785"/>
      <c r="AS207" s="785"/>
      <c r="AT207" s="111"/>
      <c r="AU207" s="411"/>
      <c r="AV207" s="411"/>
    </row>
    <row r="208" spans="2:48" s="754" customFormat="1" ht="12.75" x14ac:dyDescent="0.2">
      <c r="B208" s="411"/>
      <c r="C208" s="786">
        <v>1981</v>
      </c>
      <c r="D208" s="787">
        <v>1982</v>
      </c>
      <c r="E208" s="787">
        <v>1983</v>
      </c>
      <c r="F208" s="787">
        <v>1984</v>
      </c>
      <c r="G208" s="787">
        <v>1985</v>
      </c>
      <c r="H208" s="787">
        <v>1986</v>
      </c>
      <c r="I208" s="787">
        <v>1987</v>
      </c>
      <c r="J208" s="787">
        <v>1988</v>
      </c>
      <c r="K208" s="787">
        <v>1989</v>
      </c>
      <c r="L208" s="787">
        <v>1990</v>
      </c>
      <c r="M208" s="787">
        <v>1991</v>
      </c>
      <c r="N208" s="787">
        <v>1992</v>
      </c>
      <c r="O208" s="787">
        <v>1993</v>
      </c>
      <c r="P208" s="787">
        <v>1994</v>
      </c>
      <c r="Q208" s="787">
        <v>1995</v>
      </c>
      <c r="R208" s="787">
        <v>1996</v>
      </c>
      <c r="S208" s="787">
        <v>1997</v>
      </c>
      <c r="T208" s="787">
        <v>1998</v>
      </c>
      <c r="U208" s="787">
        <v>1999</v>
      </c>
      <c r="V208" s="787">
        <v>2000</v>
      </c>
      <c r="W208" s="787">
        <v>2001</v>
      </c>
      <c r="X208" s="787">
        <v>2002</v>
      </c>
      <c r="Y208" s="787">
        <v>2003</v>
      </c>
      <c r="Z208" s="787">
        <v>2004</v>
      </c>
      <c r="AA208" s="787">
        <v>2005</v>
      </c>
      <c r="AB208" s="787">
        <v>2006</v>
      </c>
      <c r="AC208" s="787">
        <v>2007</v>
      </c>
      <c r="AD208" s="787">
        <v>2008</v>
      </c>
      <c r="AE208" s="787">
        <v>2009</v>
      </c>
      <c r="AF208" s="787">
        <v>2010</v>
      </c>
      <c r="AG208" s="787">
        <v>2011</v>
      </c>
      <c r="AH208" s="787">
        <v>2012</v>
      </c>
      <c r="AI208" s="787">
        <v>2013</v>
      </c>
      <c r="AJ208" s="787">
        <v>2014</v>
      </c>
      <c r="AK208" s="787">
        <v>2015</v>
      </c>
      <c r="AL208" s="787">
        <v>2016</v>
      </c>
      <c r="AM208" s="787">
        <v>2017</v>
      </c>
      <c r="AN208" s="787">
        <v>2018</v>
      </c>
      <c r="AO208" s="787">
        <v>2019</v>
      </c>
      <c r="AP208" s="787">
        <v>2020</v>
      </c>
      <c r="AQ208" s="787">
        <v>2021</v>
      </c>
      <c r="AR208" s="787">
        <v>2022</v>
      </c>
      <c r="AS208" s="787">
        <v>2023</v>
      </c>
      <c r="AT208" s="112" t="s">
        <v>281</v>
      </c>
      <c r="AU208" s="411"/>
      <c r="AV208" s="411"/>
    </row>
    <row r="209" spans="2:46" ht="12.75" x14ac:dyDescent="0.2">
      <c r="B209" s="411"/>
      <c r="C209" s="788">
        <f t="shared" ref="C209:AT209" si="88">+C74-C204</f>
        <v>133547.58561088907</v>
      </c>
      <c r="D209" s="789">
        <f t="shared" si="88"/>
        <v>5680431.0251701418</v>
      </c>
      <c r="E209" s="789">
        <f t="shared" si="88"/>
        <v>18469941.665766448</v>
      </c>
      <c r="F209" s="789">
        <f t="shared" si="88"/>
        <v>42937413.848979153</v>
      </c>
      <c r="G209" s="789">
        <f t="shared" si="88"/>
        <v>82778703.683698818</v>
      </c>
      <c r="H209" s="789">
        <f t="shared" si="88"/>
        <v>127456693.31316842</v>
      </c>
      <c r="I209" s="789">
        <f t="shared" si="88"/>
        <v>169978884.08771741</v>
      </c>
      <c r="J209" s="789">
        <f t="shared" si="88"/>
        <v>206459077.45489901</v>
      </c>
      <c r="K209" s="789">
        <f t="shared" si="88"/>
        <v>234687191.85481259</v>
      </c>
      <c r="L209" s="789">
        <f t="shared" si="88"/>
        <v>260779447.98530844</v>
      </c>
      <c r="M209" s="789">
        <f t="shared" si="88"/>
        <v>313537494.86874801</v>
      </c>
      <c r="N209" s="789">
        <f t="shared" si="88"/>
        <v>384259640.81235826</v>
      </c>
      <c r="O209" s="789">
        <f t="shared" si="88"/>
        <v>462647406.82726592</v>
      </c>
      <c r="P209" s="789">
        <f t="shared" si="88"/>
        <v>562916985.52446806</v>
      </c>
      <c r="Q209" s="789">
        <f t="shared" si="88"/>
        <v>674558199.28146279</v>
      </c>
      <c r="R209" s="789">
        <f t="shared" si="88"/>
        <v>829895502.06926656</v>
      </c>
      <c r="S209" s="789">
        <f t="shared" si="88"/>
        <v>1048080571.3570704</v>
      </c>
      <c r="T209" s="789">
        <f t="shared" si="88"/>
        <v>1249522242.8570704</v>
      </c>
      <c r="U209" s="789">
        <f t="shared" si="88"/>
        <v>1413819582.3570704</v>
      </c>
      <c r="V209" s="789">
        <f t="shared" si="88"/>
        <v>1563515883.3570704</v>
      </c>
      <c r="W209" s="789">
        <f t="shared" si="88"/>
        <v>1684564637.6517663</v>
      </c>
      <c r="X209" s="789">
        <f t="shared" si="88"/>
        <v>1795670574.6890354</v>
      </c>
      <c r="Y209" s="789">
        <f t="shared" si="88"/>
        <v>1889784540.1005619</v>
      </c>
      <c r="Z209" s="789">
        <f t="shared" si="88"/>
        <v>1959967658.4255946</v>
      </c>
      <c r="AA209" s="789">
        <f t="shared" si="88"/>
        <v>2018595773.6208086</v>
      </c>
      <c r="AB209" s="789">
        <f t="shared" si="88"/>
        <v>2047975449.3937831</v>
      </c>
      <c r="AC209" s="789">
        <f t="shared" si="88"/>
        <v>2042573836.1923022</v>
      </c>
      <c r="AD209" s="789">
        <f t="shared" si="88"/>
        <v>2041815731.3527656</v>
      </c>
      <c r="AE209" s="789">
        <f t="shared" si="88"/>
        <v>2049827355.6254992</v>
      </c>
      <c r="AF209" s="789">
        <f t="shared" si="88"/>
        <v>2066292635.6072283</v>
      </c>
      <c r="AG209" s="789">
        <f t="shared" si="88"/>
        <v>2104515887.7818978</v>
      </c>
      <c r="AH209" s="790">
        <f t="shared" si="88"/>
        <v>2103585123.1539927</v>
      </c>
      <c r="AI209" s="790">
        <f t="shared" si="88"/>
        <v>2080164550.4665124</v>
      </c>
      <c r="AJ209" s="790">
        <f t="shared" si="88"/>
        <v>2077079540.3502688</v>
      </c>
      <c r="AK209" s="790">
        <f t="shared" si="88"/>
        <v>2064480333.9041903</v>
      </c>
      <c r="AL209" s="790">
        <f t="shared" si="88"/>
        <v>2006422884.6964729</v>
      </c>
      <c r="AM209" s="790">
        <f t="shared" si="88"/>
        <v>1898122935.8035841</v>
      </c>
      <c r="AN209" s="790">
        <f t="shared" si="88"/>
        <v>1777039650.2416153</v>
      </c>
      <c r="AO209" s="790">
        <f t="shared" si="88"/>
        <v>1667419246.3741786</v>
      </c>
      <c r="AP209" s="790">
        <f t="shared" si="88"/>
        <v>1567142043.7187748</v>
      </c>
      <c r="AQ209" s="790">
        <f t="shared" si="88"/>
        <v>1449112001.1950393</v>
      </c>
      <c r="AR209" s="790">
        <f t="shared" si="88"/>
        <v>1357240421.3777375</v>
      </c>
      <c r="AS209" s="790">
        <f t="shared" si="88"/>
        <v>1307289478.7558918</v>
      </c>
      <c r="AT209" s="162">
        <f t="shared" si="88"/>
        <v>52708797132.296494</v>
      </c>
    </row>
    <row r="210" spans="2:46" ht="12.75" x14ac:dyDescent="0.2">
      <c r="B210" s="411"/>
      <c r="C210" s="791"/>
      <c r="D210" s="792"/>
      <c r="E210" s="792"/>
      <c r="F210" s="792"/>
      <c r="G210" s="792"/>
      <c r="H210" s="792"/>
      <c r="I210" s="792"/>
      <c r="J210" s="792"/>
      <c r="K210" s="792"/>
      <c r="L210" s="792"/>
      <c r="M210" s="792"/>
      <c r="N210" s="792"/>
      <c r="O210" s="792"/>
      <c r="P210" s="792"/>
      <c r="Q210" s="792"/>
      <c r="R210" s="792"/>
      <c r="S210" s="792"/>
      <c r="T210" s="792"/>
      <c r="U210" s="792"/>
      <c r="V210" s="792"/>
      <c r="W210" s="792"/>
      <c r="X210" s="792"/>
      <c r="Y210" s="792"/>
      <c r="Z210" s="792"/>
      <c r="AA210" s="792"/>
      <c r="AB210" s="792"/>
      <c r="AC210" s="793"/>
      <c r="AD210" s="793"/>
      <c r="AE210" s="793"/>
      <c r="AF210" s="793"/>
      <c r="AG210" s="793"/>
      <c r="AH210" s="793"/>
      <c r="AI210" s="793"/>
      <c r="AJ210" s="793"/>
      <c r="AK210" s="793"/>
      <c r="AL210" s="793"/>
      <c r="AM210" s="793"/>
      <c r="AN210" s="794"/>
      <c r="AO210" s="794"/>
      <c r="AP210" s="794"/>
      <c r="AQ210" s="794"/>
      <c r="AR210" s="794"/>
      <c r="AS210" s="794"/>
      <c r="AT210" s="113">
        <f>SUM(C209:AS209)</f>
        <v>52708797132.296471</v>
      </c>
    </row>
    <row r="211" spans="2:46" ht="13.5" thickBot="1" x14ac:dyDescent="0.25">
      <c r="B211" s="411"/>
      <c r="C211" s="795"/>
      <c r="D211" s="796"/>
      <c r="E211" s="796"/>
      <c r="F211" s="796"/>
      <c r="G211" s="796"/>
      <c r="H211" s="796"/>
      <c r="I211" s="796"/>
      <c r="J211" s="796"/>
      <c r="K211" s="796"/>
      <c r="L211" s="796"/>
      <c r="M211" s="796"/>
      <c r="N211" s="796"/>
      <c r="O211" s="796"/>
      <c r="P211" s="796"/>
      <c r="Q211" s="796"/>
      <c r="R211" s="796"/>
      <c r="S211" s="796"/>
      <c r="T211" s="796"/>
      <c r="U211" s="796"/>
      <c r="V211" s="796"/>
      <c r="W211" s="796"/>
      <c r="X211" s="796"/>
      <c r="Y211" s="796"/>
      <c r="Z211" s="796"/>
      <c r="AA211" s="796"/>
      <c r="AB211" s="796"/>
      <c r="AC211" s="797"/>
      <c r="AD211" s="797"/>
      <c r="AE211" s="797"/>
      <c r="AF211" s="797"/>
      <c r="AG211" s="797"/>
      <c r="AH211" s="797"/>
      <c r="AI211" s="798"/>
      <c r="AJ211" s="798"/>
      <c r="AK211" s="798"/>
      <c r="AL211" s="798"/>
      <c r="AM211" s="798"/>
      <c r="AN211" s="755"/>
      <c r="AO211" s="755"/>
      <c r="AP211" s="755"/>
      <c r="AQ211" s="755"/>
      <c r="AR211" s="755"/>
      <c r="AS211" s="755"/>
      <c r="AT211" s="114"/>
    </row>
    <row r="212" spans="2:46" ht="14.25" thickTop="1" thickBot="1" x14ac:dyDescent="0.25">
      <c r="B212" s="411"/>
      <c r="C212" s="799"/>
      <c r="D212" s="800"/>
      <c r="E212" s="800"/>
      <c r="F212" s="800"/>
      <c r="G212" s="800"/>
      <c r="H212" s="800"/>
      <c r="I212" s="800"/>
      <c r="J212" s="800"/>
      <c r="K212" s="800"/>
      <c r="L212" s="800"/>
      <c r="M212" s="800"/>
      <c r="N212" s="800"/>
      <c r="O212" s="800"/>
      <c r="P212" s="800"/>
      <c r="Q212" s="800"/>
      <c r="R212" s="800"/>
      <c r="S212" s="800"/>
      <c r="T212" s="800"/>
      <c r="U212" s="800"/>
      <c r="V212" s="800"/>
      <c r="W212" s="800"/>
      <c r="X212" s="800"/>
      <c r="Y212" s="800"/>
      <c r="Z212" s="800"/>
      <c r="AA212" s="800"/>
      <c r="AB212" s="800"/>
      <c r="AC212" s="801"/>
      <c r="AD212" s="801"/>
      <c r="AE212" s="801"/>
      <c r="AF212" s="801"/>
      <c r="AG212" s="801"/>
      <c r="AH212" s="801" t="s">
        <v>369</v>
      </c>
      <c r="AI212" s="802"/>
      <c r="AJ212" s="802"/>
      <c r="AK212" s="802"/>
      <c r="AL212" s="802"/>
      <c r="AM212" s="802"/>
      <c r="AN212" s="803"/>
      <c r="AO212" s="803"/>
      <c r="AP212" s="803"/>
      <c r="AQ212" s="803"/>
      <c r="AR212" s="803"/>
      <c r="AS212" s="803"/>
      <c r="AT212" s="804">
        <f>SUM(J209:AS209)</f>
        <v>52261361517.086357</v>
      </c>
    </row>
    <row r="213" spans="2:46" ht="12" thickTop="1" x14ac:dyDescent="0.2">
      <c r="B213" s="754"/>
      <c r="C213" s="754"/>
      <c r="D213" s="754"/>
      <c r="E213" s="754"/>
      <c r="F213" s="754"/>
      <c r="G213" s="754"/>
      <c r="H213" s="754"/>
      <c r="I213" s="754"/>
      <c r="J213" s="754"/>
      <c r="K213" s="754"/>
      <c r="L213" s="754"/>
      <c r="M213" s="754"/>
      <c r="N213" s="754"/>
      <c r="O213" s="754"/>
      <c r="P213" s="754"/>
      <c r="Q213" s="754"/>
      <c r="R213" s="754"/>
      <c r="S213" s="754"/>
      <c r="T213" s="754"/>
      <c r="U213" s="754"/>
      <c r="V213" s="754"/>
      <c r="W213" s="754"/>
      <c r="X213" s="754"/>
      <c r="Y213" s="754"/>
      <c r="Z213" s="754"/>
      <c r="AA213" s="754"/>
      <c r="AB213" s="754"/>
      <c r="AC213" s="754"/>
      <c r="AD213" s="754"/>
      <c r="AE213" s="754"/>
      <c r="AF213" s="754"/>
      <c r="AG213" s="754"/>
      <c r="AH213" s="754"/>
      <c r="AI213" s="755"/>
      <c r="AJ213" s="755"/>
      <c r="AK213" s="755"/>
      <c r="AL213" s="755"/>
      <c r="AM213" s="755"/>
      <c r="AN213" s="755"/>
      <c r="AO213" s="755"/>
      <c r="AP213" s="755"/>
      <c r="AQ213" s="755"/>
      <c r="AR213" s="755"/>
      <c r="AS213" s="755"/>
      <c r="AT213" s="754"/>
    </row>
  </sheetData>
  <mergeCells count="1">
    <mergeCell ref="B3:D3"/>
  </mergeCells>
  <phoneticPr fontId="59" type="noConversion"/>
  <printOptions horizontalCentered="1"/>
  <pageMargins left="0" right="0" top="1.25" bottom="0" header="0" footer="0"/>
  <pageSetup paperSize="17" scale="26" orientation="landscape" r:id="rId1"/>
  <headerFooter alignWithMargins="0"/>
  <rowBreaks count="2" manualBreakCount="2">
    <brk id="28" min="1" max="33" man="1"/>
    <brk id="79" min="1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76C9-DC21-4865-B67C-C2C5C389758D}">
  <sheetPr transitionEvaluation="1">
    <pageSetUpPr fitToPage="1"/>
  </sheetPr>
  <dimension ref="A1:BL198"/>
  <sheetViews>
    <sheetView zoomScale="92" zoomScaleNormal="92" workbookViewId="0">
      <pane xSplit="1" ySplit="4" topLeftCell="B5" activePane="bottomRight" state="frozen"/>
      <selection activeCell="B1" sqref="B1:C2"/>
      <selection pane="topRight" activeCell="B1" sqref="B1:C2"/>
      <selection pane="bottomLeft" activeCell="B1" sqref="B1:C2"/>
      <selection pane="bottomRight" activeCell="B1" sqref="B1:C2"/>
    </sheetView>
  </sheetViews>
  <sheetFormatPr defaultColWidth="11.28515625" defaultRowHeight="11.25" x14ac:dyDescent="0.2"/>
  <cols>
    <col min="1" max="1" width="47" style="402" bestFit="1" customWidth="1"/>
    <col min="2" max="2" width="7.140625" style="402" customWidth="1"/>
    <col min="3" max="3" width="6.85546875" style="402" customWidth="1"/>
    <col min="4" max="4" width="6.28515625" style="402" customWidth="1"/>
    <col min="5" max="5" width="13.140625" style="402" bestFit="1" customWidth="1"/>
    <col min="6" max="6" width="14.42578125" style="402" bestFit="1" customWidth="1"/>
    <col min="7" max="7" width="12.85546875" style="402" bestFit="1" customWidth="1"/>
    <col min="8" max="8" width="13.140625" style="402" bestFit="1" customWidth="1"/>
    <col min="9" max="10" width="12.85546875" style="402" bestFit="1" customWidth="1"/>
    <col min="11" max="12" width="14" style="402" bestFit="1" customWidth="1"/>
    <col min="13" max="13" width="13.7109375" style="402" bestFit="1" customWidth="1"/>
    <col min="14" max="14" width="14" style="402" bestFit="1" customWidth="1"/>
    <col min="15" max="15" width="15.140625" style="402" bestFit="1" customWidth="1"/>
    <col min="16" max="16" width="15.5703125" style="402" bestFit="1" customWidth="1"/>
    <col min="17" max="17" width="13.7109375" style="402" bestFit="1" customWidth="1"/>
    <col min="18" max="18" width="15.140625" style="402" bestFit="1" customWidth="1"/>
    <col min="19" max="19" width="14.5703125" style="402" bestFit="1" customWidth="1"/>
    <col min="20" max="20" width="14.85546875" style="402" bestFit="1" customWidth="1"/>
    <col min="21" max="24" width="15.140625" style="402" bestFit="1" customWidth="1"/>
    <col min="25" max="25" width="15.140625" style="402" customWidth="1"/>
    <col min="26" max="28" width="15.140625" style="402" bestFit="1" customWidth="1"/>
    <col min="29" max="29" width="15.5703125" style="402" bestFit="1" customWidth="1"/>
    <col min="30" max="30" width="15.140625" style="402" bestFit="1" customWidth="1"/>
    <col min="31" max="32" width="15.5703125" style="402" bestFit="1" customWidth="1"/>
    <col min="33" max="33" width="15.140625" style="402" bestFit="1" customWidth="1"/>
    <col min="34" max="36" width="15.5703125" style="437" bestFit="1" customWidth="1"/>
    <col min="37" max="38" width="14.85546875" style="437" bestFit="1" customWidth="1"/>
    <col min="39" max="44" width="14.85546875" style="437" customWidth="1"/>
    <col min="45" max="45" width="18.28515625" style="38" bestFit="1" customWidth="1"/>
    <col min="46" max="46" width="12.140625" style="41" customWidth="1"/>
    <col min="47" max="47" width="12.5703125" style="41" customWidth="1"/>
    <col min="48" max="48" width="26.28515625" style="402" customWidth="1"/>
    <col min="49" max="49" width="29.42578125" style="402" customWidth="1"/>
    <col min="50" max="50" width="1.42578125" style="402" customWidth="1"/>
    <col min="51" max="51" width="14.85546875" style="402" customWidth="1"/>
    <col min="52" max="52" width="12.5703125" style="402" bestFit="1" customWidth="1"/>
    <col min="53" max="53" width="11.140625" style="402" bestFit="1" customWidth="1"/>
    <col min="54" max="55" width="11.42578125" style="402" bestFit="1" customWidth="1"/>
    <col min="56" max="57" width="12.5703125" style="402" bestFit="1" customWidth="1"/>
    <col min="58" max="58" width="12.28515625" style="402" bestFit="1" customWidth="1"/>
    <col min="59" max="60" width="12.5703125" style="402" bestFit="1" customWidth="1"/>
    <col min="61" max="61" width="13" style="402" bestFit="1" customWidth="1"/>
    <col min="62" max="62" width="13.7109375" style="402" bestFit="1" customWidth="1"/>
    <col min="63" max="63" width="13.28515625" style="402" bestFit="1" customWidth="1"/>
    <col min="64" max="64" width="15.140625" style="402" bestFit="1" customWidth="1"/>
    <col min="65" max="16384" width="11.28515625" style="402"/>
  </cols>
  <sheetData>
    <row r="1" spans="1:49" x14ac:dyDescent="0.2">
      <c r="B1" s="1088" t="s">
        <v>522</v>
      </c>
      <c r="C1" s="1088"/>
    </row>
    <row r="2" spans="1:49" x14ac:dyDescent="0.2">
      <c r="B2" s="1088" t="s">
        <v>517</v>
      </c>
      <c r="C2" s="1088"/>
    </row>
    <row r="3" spans="1:49" ht="16.5" thickBot="1" x14ac:dyDescent="0.3">
      <c r="A3" s="401" t="s">
        <v>114</v>
      </c>
      <c r="F3" s="307"/>
      <c r="AB3" s="309"/>
      <c r="AC3" s="403"/>
      <c r="AD3" s="403"/>
      <c r="AE3" s="404"/>
      <c r="AG3" s="405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2"/>
      <c r="AT3" s="119"/>
    </row>
    <row r="4" spans="1:49" ht="16.5" thickBot="1" x14ac:dyDescent="0.3">
      <c r="A4" s="407" t="s">
        <v>33</v>
      </c>
      <c r="F4" s="307"/>
      <c r="AB4" s="309"/>
      <c r="AC4" s="403"/>
      <c r="AD4" s="403"/>
      <c r="AE4" s="404"/>
      <c r="AF4" s="408">
        <v>0.90900000000000003</v>
      </c>
      <c r="AG4" s="409">
        <v>1.0881000000000001</v>
      </c>
      <c r="AH4" s="410">
        <v>1.07935</v>
      </c>
      <c r="AI4" s="410">
        <v>1.07782</v>
      </c>
      <c r="AJ4" s="410">
        <v>1.07613</v>
      </c>
      <c r="AK4" s="410">
        <v>1.0699700000000001</v>
      </c>
      <c r="AL4" s="410">
        <v>1.06063</v>
      </c>
      <c r="AM4" s="410">
        <v>1.0613999999999999</v>
      </c>
      <c r="AN4" s="805">
        <v>1.0653999999999999</v>
      </c>
      <c r="AO4" s="805">
        <v>1.0603</v>
      </c>
      <c r="AP4" s="805">
        <v>1.0642</v>
      </c>
      <c r="AQ4" s="805">
        <v>1.0687</v>
      </c>
      <c r="AR4" s="805">
        <v>1.0649999999999999</v>
      </c>
      <c r="AS4" s="42"/>
      <c r="AT4" s="411"/>
    </row>
    <row r="5" spans="1:49" s="418" customFormat="1" ht="14.25" thickTop="1" thickBot="1" x14ac:dyDescent="0.25">
      <c r="A5" s="455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7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6"/>
      <c r="AP5" s="456"/>
      <c r="AQ5" s="456"/>
      <c r="AR5" s="456"/>
      <c r="AS5" s="115" t="e">
        <f>+(#REF!+#REF!+#REF!+#REF!+#REF!+#REF!+#REF!+#REF!+#REF!+#REF!)/(1000)</f>
        <v>#REF!</v>
      </c>
      <c r="AT5" s="411"/>
      <c r="AU5" s="119"/>
    </row>
    <row r="6" spans="1:49" ht="13.5" thickBot="1" x14ac:dyDescent="0.25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7"/>
      <c r="AC6" s="118"/>
      <c r="AD6" s="118"/>
      <c r="AE6" s="118"/>
      <c r="AF6" s="408">
        <v>0.93079999999999996</v>
      </c>
      <c r="AG6" s="409">
        <v>1.06732</v>
      </c>
      <c r="AH6" s="410">
        <v>1.0623800000000001</v>
      </c>
      <c r="AI6" s="410">
        <v>1.06107</v>
      </c>
      <c r="AJ6" s="410">
        <v>1.06006</v>
      </c>
      <c r="AK6" s="410">
        <v>1.0535699999999999</v>
      </c>
      <c r="AL6" s="410">
        <v>1.0483499999999999</v>
      </c>
      <c r="AM6" s="410">
        <v>1.0483</v>
      </c>
      <c r="AN6" s="805">
        <v>1.0510999999999999</v>
      </c>
      <c r="AO6" s="805">
        <v>1.0469999999999999</v>
      </c>
      <c r="AP6" s="805">
        <v>1.0495000000000001</v>
      </c>
      <c r="AQ6" s="805">
        <v>1.0531999999999999</v>
      </c>
      <c r="AR6" s="805">
        <v>1.0508</v>
      </c>
      <c r="AS6" s="402"/>
      <c r="AT6" s="119"/>
      <c r="AU6" s="402"/>
      <c r="AW6" s="411"/>
    </row>
    <row r="7" spans="1:49" s="418" customFormat="1" ht="24" thickTop="1" thickBot="1" x14ac:dyDescent="0.25">
      <c r="A7" s="314" t="s">
        <v>162</v>
      </c>
      <c r="B7" s="412">
        <v>1981</v>
      </c>
      <c r="C7" s="412">
        <v>1982</v>
      </c>
      <c r="D7" s="412">
        <v>1983</v>
      </c>
      <c r="E7" s="412">
        <v>1984</v>
      </c>
      <c r="F7" s="412">
        <v>1985</v>
      </c>
      <c r="G7" s="412">
        <v>1986</v>
      </c>
      <c r="H7" s="412">
        <v>1987</v>
      </c>
      <c r="I7" s="412">
        <v>1988</v>
      </c>
      <c r="J7" s="412">
        <v>1989</v>
      </c>
      <c r="K7" s="413" t="s">
        <v>35</v>
      </c>
      <c r="L7" s="412" t="s">
        <v>36</v>
      </c>
      <c r="M7" s="412">
        <v>1992</v>
      </c>
      <c r="N7" s="414">
        <v>1993</v>
      </c>
      <c r="O7" s="414">
        <v>1994</v>
      </c>
      <c r="P7" s="414">
        <v>1995</v>
      </c>
      <c r="Q7" s="414">
        <v>1996</v>
      </c>
      <c r="R7" s="412">
        <v>1997</v>
      </c>
      <c r="S7" s="414">
        <v>1998</v>
      </c>
      <c r="T7" s="412" t="e">
        <f>+#REF!</f>
        <v>#REF!</v>
      </c>
      <c r="U7" s="458" t="e">
        <f>+#REF!</f>
        <v>#REF!</v>
      </c>
      <c r="V7" s="458">
        <v>2001</v>
      </c>
      <c r="W7" s="415">
        <v>2002</v>
      </c>
      <c r="X7" s="415">
        <v>2003</v>
      </c>
      <c r="Y7" s="415">
        <v>2004</v>
      </c>
      <c r="Z7" s="415">
        <v>2005</v>
      </c>
      <c r="AA7" s="416" t="s">
        <v>116</v>
      </c>
      <c r="AB7" s="445">
        <v>2007</v>
      </c>
      <c r="AC7" s="311" t="s">
        <v>163</v>
      </c>
      <c r="AD7" s="311" t="s">
        <v>164</v>
      </c>
      <c r="AE7" s="311" t="s">
        <v>165</v>
      </c>
      <c r="AF7" s="311" t="s">
        <v>166</v>
      </c>
      <c r="AG7" s="311" t="s">
        <v>167</v>
      </c>
      <c r="AH7" s="311" t="s">
        <v>168</v>
      </c>
      <c r="AI7" s="311" t="s">
        <v>169</v>
      </c>
      <c r="AJ7" s="311" t="s">
        <v>170</v>
      </c>
      <c r="AK7" s="311" t="s">
        <v>171</v>
      </c>
      <c r="AL7" s="311" t="s">
        <v>172</v>
      </c>
      <c r="AM7" s="311" t="s">
        <v>173</v>
      </c>
      <c r="AN7" s="311" t="s">
        <v>174</v>
      </c>
      <c r="AO7" s="311" t="s">
        <v>175</v>
      </c>
      <c r="AP7" s="311" t="s">
        <v>176</v>
      </c>
      <c r="AQ7" s="311" t="s">
        <v>177</v>
      </c>
      <c r="AR7" s="311" t="s">
        <v>178</v>
      </c>
      <c r="AS7" s="447" t="s">
        <v>179</v>
      </c>
      <c r="AU7" s="411"/>
      <c r="AV7" s="411"/>
      <c r="AW7" s="411"/>
    </row>
    <row r="8" spans="1:49" ht="13.5" thickTop="1" x14ac:dyDescent="0.2">
      <c r="A8" s="419" t="s">
        <v>133</v>
      </c>
      <c r="B8" s="459"/>
      <c r="C8" s="459"/>
      <c r="D8" s="459"/>
      <c r="E8" s="460"/>
      <c r="F8" s="460"/>
      <c r="G8" s="460"/>
      <c r="H8" s="460"/>
      <c r="I8" s="460"/>
      <c r="J8" s="461"/>
      <c r="K8" s="462"/>
      <c r="L8" s="460"/>
      <c r="M8" s="181"/>
      <c r="N8" s="463"/>
      <c r="O8" s="463"/>
      <c r="P8" s="463"/>
      <c r="Q8" s="464"/>
      <c r="R8" s="465"/>
      <c r="S8" s="466"/>
      <c r="T8" s="464"/>
      <c r="U8" s="467"/>
      <c r="V8" s="466"/>
      <c r="W8" s="464"/>
      <c r="X8" s="464"/>
      <c r="Y8" s="464"/>
      <c r="Z8" s="464"/>
      <c r="AA8" s="466"/>
      <c r="AB8" s="468"/>
      <c r="AC8" s="468"/>
      <c r="AD8" s="468"/>
      <c r="AE8" s="468"/>
      <c r="AF8" s="468"/>
      <c r="AG8" s="468"/>
      <c r="AH8" s="468"/>
      <c r="AI8" s="468"/>
      <c r="AJ8" s="468"/>
      <c r="AK8" s="468"/>
      <c r="AL8" s="468"/>
      <c r="AM8" s="469"/>
      <c r="AN8" s="469"/>
      <c r="AO8" s="469"/>
      <c r="AP8" s="469"/>
      <c r="AQ8" s="469"/>
      <c r="AR8" s="469"/>
      <c r="AS8" s="470">
        <f>SUM(B8:AL8)</f>
        <v>0</v>
      </c>
      <c r="AU8" s="120" t="s">
        <v>180</v>
      </c>
      <c r="AV8" s="77"/>
      <c r="AW8" s="471"/>
    </row>
    <row r="9" spans="1:49" x14ac:dyDescent="0.2">
      <c r="A9" s="425" t="s">
        <v>134</v>
      </c>
      <c r="B9" s="463"/>
      <c r="C9" s="463"/>
      <c r="D9" s="463"/>
      <c r="E9" s="460">
        <v>3669724.7706422019</v>
      </c>
      <c r="F9" s="460">
        <v>20075553.157042634</v>
      </c>
      <c r="G9" s="460">
        <v>7015650.2968159737</v>
      </c>
      <c r="H9" s="460">
        <v>5504587.1559633026</v>
      </c>
      <c r="I9" s="472">
        <v>3022126.2817053427</v>
      </c>
      <c r="J9" s="472">
        <v>4317323.2595790606</v>
      </c>
      <c r="K9" s="472">
        <v>13923367.512142472</v>
      </c>
      <c r="L9" s="472">
        <v>6821370.750134916</v>
      </c>
      <c r="M9" s="472">
        <v>10264436.049649218</v>
      </c>
      <c r="N9" s="472">
        <v>47376769.562871024</v>
      </c>
      <c r="O9" s="460">
        <v>111498974.63572586</v>
      </c>
      <c r="P9" s="50">
        <v>173699764</v>
      </c>
      <c r="Q9" s="121">
        <v>307450192</v>
      </c>
      <c r="R9" s="121">
        <v>80635841</v>
      </c>
      <c r="S9" s="121">
        <v>70578895</v>
      </c>
      <c r="T9" s="122">
        <v>25336292</v>
      </c>
      <c r="U9" s="123">
        <v>13082345</v>
      </c>
      <c r="V9" s="121">
        <v>16177163</v>
      </c>
      <c r="W9" s="122">
        <v>21355110</v>
      </c>
      <c r="X9" s="122">
        <v>21908401</v>
      </c>
      <c r="Y9" s="122">
        <v>30339809</v>
      </c>
      <c r="Z9" s="122">
        <v>26654054.363259982</v>
      </c>
      <c r="AA9" s="121">
        <v>30450969.351005103</v>
      </c>
      <c r="AB9" s="122">
        <v>26896050.912636969</v>
      </c>
      <c r="AC9" s="122">
        <v>17763261.338609051</v>
      </c>
      <c r="AD9" s="122">
        <v>15667673.64079201</v>
      </c>
      <c r="AE9" s="122">
        <v>20929062.321382459</v>
      </c>
      <c r="AF9" s="122">
        <v>19302515.777537137</v>
      </c>
      <c r="AG9" s="122">
        <v>23921044.255824059</v>
      </c>
      <c r="AH9" s="122">
        <v>14743561.650466003</v>
      </c>
      <c r="AI9" s="122">
        <v>9797291.309165936</v>
      </c>
      <c r="AJ9" s="122">
        <f>9.07*10000000</f>
        <v>90700000</v>
      </c>
      <c r="AK9" s="122">
        <v>8560250.2446509991</v>
      </c>
      <c r="AL9" s="122">
        <v>23149016.819699999</v>
      </c>
      <c r="AM9" s="123">
        <v>48086704.006549999</v>
      </c>
      <c r="AN9" s="123">
        <v>23557687.93496</v>
      </c>
      <c r="AO9" s="123">
        <v>19467689.439899992</v>
      </c>
      <c r="AP9" s="123">
        <v>11001532.04435</v>
      </c>
      <c r="AQ9" s="123">
        <v>10563909.011039997</v>
      </c>
      <c r="AR9" s="123">
        <v>31384195.395600796</v>
      </c>
      <c r="AS9" s="83">
        <f t="shared" ref="AS9:AS18" si="0">SUM(B9:AR9)</f>
        <v>1466650165.2497022</v>
      </c>
      <c r="AT9" s="332"/>
      <c r="AU9" s="124">
        <f>1984+20</f>
        <v>2004</v>
      </c>
      <c r="AV9" s="125" t="s">
        <v>181</v>
      </c>
      <c r="AW9" s="473" t="s">
        <v>182</v>
      </c>
    </row>
    <row r="10" spans="1:49" x14ac:dyDescent="0.2">
      <c r="A10" s="425" t="s">
        <v>135</v>
      </c>
      <c r="B10" s="463"/>
      <c r="C10" s="463"/>
      <c r="D10" s="463"/>
      <c r="E10" s="474"/>
      <c r="F10" s="474"/>
      <c r="G10" s="474"/>
      <c r="H10" s="474"/>
      <c r="I10" s="474"/>
      <c r="J10" s="463"/>
      <c r="K10" s="475"/>
      <c r="L10" s="474"/>
      <c r="M10" s="121"/>
      <c r="N10" s="476">
        <v>32247.166756610903</v>
      </c>
      <c r="O10" s="476">
        <v>221107.39341608202</v>
      </c>
      <c r="P10" s="476">
        <v>158383</v>
      </c>
      <c r="Q10" s="476">
        <v>78270</v>
      </c>
      <c r="R10" s="476">
        <v>860</v>
      </c>
      <c r="S10" s="466"/>
      <c r="T10" s="464"/>
      <c r="U10" s="467"/>
      <c r="V10" s="466"/>
      <c r="W10" s="464"/>
      <c r="X10" s="464"/>
      <c r="Y10" s="464"/>
      <c r="Z10" s="464"/>
      <c r="AA10" s="466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7"/>
      <c r="AN10" s="467"/>
      <c r="AO10" s="467"/>
      <c r="AP10" s="467"/>
      <c r="AQ10" s="467"/>
      <c r="AR10" s="467"/>
      <c r="AS10" s="83">
        <f t="shared" si="0"/>
        <v>490867.56017269293</v>
      </c>
      <c r="AU10" s="126">
        <f>1993+15</f>
        <v>2008</v>
      </c>
      <c r="AV10" s="127" t="s">
        <v>183</v>
      </c>
      <c r="AW10" s="473" t="s">
        <v>184</v>
      </c>
    </row>
    <row r="11" spans="1:49" x14ac:dyDescent="0.2">
      <c r="A11" s="425" t="s">
        <v>136</v>
      </c>
      <c r="B11" s="463"/>
      <c r="C11" s="463"/>
      <c r="D11" s="463"/>
      <c r="E11" s="474"/>
      <c r="F11" s="474"/>
      <c r="G11" s="474"/>
      <c r="H11" s="474"/>
      <c r="I11" s="474"/>
      <c r="J11" s="463"/>
      <c r="K11" s="475"/>
      <c r="L11" s="474"/>
      <c r="M11" s="121"/>
      <c r="N11" s="474"/>
      <c r="O11" s="474"/>
      <c r="P11" s="474"/>
      <c r="Q11" s="121"/>
      <c r="R11" s="121"/>
      <c r="S11" s="466"/>
      <c r="T11" s="464"/>
      <c r="U11" s="467"/>
      <c r="V11" s="466"/>
      <c r="W11" s="464"/>
      <c r="X11" s="464"/>
      <c r="Y11" s="464"/>
      <c r="Z11" s="464"/>
      <c r="AA11" s="466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464"/>
      <c r="AM11" s="467"/>
      <c r="AN11" s="467"/>
      <c r="AO11" s="467"/>
      <c r="AP11" s="467"/>
      <c r="AQ11" s="467"/>
      <c r="AR11" s="467"/>
      <c r="AS11" s="83">
        <f t="shared" si="0"/>
        <v>0</v>
      </c>
      <c r="AU11" s="126"/>
      <c r="AV11" s="127"/>
      <c r="AW11" s="477"/>
    </row>
    <row r="12" spans="1:49" x14ac:dyDescent="0.2">
      <c r="A12" s="425" t="s">
        <v>137</v>
      </c>
      <c r="B12" s="463"/>
      <c r="C12" s="463"/>
      <c r="D12" s="463"/>
      <c r="E12" s="474"/>
      <c r="F12" s="474"/>
      <c r="G12" s="474"/>
      <c r="H12" s="474"/>
      <c r="I12" s="474"/>
      <c r="J12" s="463"/>
      <c r="K12" s="475"/>
      <c r="L12" s="474"/>
      <c r="M12" s="121"/>
      <c r="N12" s="474"/>
      <c r="O12" s="474"/>
      <c r="P12" s="476">
        <v>2228290</v>
      </c>
      <c r="Q12" s="476">
        <v>2630156</v>
      </c>
      <c r="R12" s="476">
        <v>238609</v>
      </c>
      <c r="S12" s="466"/>
      <c r="T12" s="464"/>
      <c r="U12" s="467"/>
      <c r="V12" s="121">
        <v>40267290</v>
      </c>
      <c r="W12" s="122"/>
      <c r="X12" s="122">
        <v>45089176</v>
      </c>
      <c r="Y12" s="122">
        <v>619414</v>
      </c>
      <c r="Z12" s="122">
        <v>1885635.1216980701</v>
      </c>
      <c r="AA12" s="121">
        <v>13560743.22134601</v>
      </c>
      <c r="AB12" s="122">
        <v>113704443.12796208</v>
      </c>
      <c r="AC12" s="122">
        <v>1145180.787911495</v>
      </c>
      <c r="AD12" s="122">
        <v>13658013.116869153</v>
      </c>
      <c r="AE12" s="122">
        <v>13677065.524729107</v>
      </c>
      <c r="AF12" s="122">
        <v>10742743.876235498</v>
      </c>
      <c r="AG12" s="122">
        <v>13033294.272879999</v>
      </c>
      <c r="AH12" s="122">
        <v>27305290.760000002</v>
      </c>
      <c r="AI12" s="122">
        <v>12909689.708069999</v>
      </c>
      <c r="AJ12" s="122">
        <f>15.9*1000000</f>
        <v>15900000</v>
      </c>
      <c r="AK12" s="122">
        <v>19808037.873749997</v>
      </c>
      <c r="AL12" s="122">
        <v>13405482.086999999</v>
      </c>
      <c r="AM12" s="123">
        <v>2469511.7590000001</v>
      </c>
      <c r="AN12" s="123">
        <v>0</v>
      </c>
      <c r="AO12" s="123">
        <v>0</v>
      </c>
      <c r="AP12" s="123">
        <v>0</v>
      </c>
      <c r="AQ12" s="123">
        <v>0</v>
      </c>
      <c r="AR12" s="123">
        <v>0</v>
      </c>
      <c r="AS12" s="83">
        <f t="shared" si="0"/>
        <v>364278066.23745137</v>
      </c>
      <c r="AT12" s="332"/>
      <c r="AU12" s="126">
        <f>1995+15</f>
        <v>2010</v>
      </c>
      <c r="AV12" s="127" t="s">
        <v>185</v>
      </c>
      <c r="AW12" s="473" t="s">
        <v>137</v>
      </c>
    </row>
    <row r="13" spans="1:49" x14ac:dyDescent="0.2">
      <c r="A13" s="425" t="s">
        <v>138</v>
      </c>
      <c r="B13" s="463"/>
      <c r="C13" s="463"/>
      <c r="D13" s="463"/>
      <c r="E13" s="474"/>
      <c r="F13" s="474"/>
      <c r="G13" s="474"/>
      <c r="H13" s="474"/>
      <c r="I13" s="474"/>
      <c r="J13" s="463"/>
      <c r="K13" s="475"/>
      <c r="L13" s="474"/>
      <c r="M13" s="474"/>
      <c r="N13" s="474"/>
      <c r="O13" s="474"/>
      <c r="P13" s="474"/>
      <c r="Q13" s="476">
        <v>1439490</v>
      </c>
      <c r="R13" s="476">
        <v>24808281</v>
      </c>
      <c r="S13" s="476">
        <v>7002519</v>
      </c>
      <c r="T13" s="122">
        <v>8731139</v>
      </c>
      <c r="U13" s="123">
        <v>5466372</v>
      </c>
      <c r="V13" s="121">
        <v>2242582</v>
      </c>
      <c r="W13" s="122">
        <v>4323959</v>
      </c>
      <c r="X13" s="122">
        <v>5853422</v>
      </c>
      <c r="Y13" s="122">
        <v>8679946</v>
      </c>
      <c r="Z13" s="122">
        <v>10149864.286807273</v>
      </c>
      <c r="AA13" s="121">
        <v>10466104.136176074</v>
      </c>
      <c r="AB13" s="122">
        <v>16062282.147997485</v>
      </c>
      <c r="AC13" s="122">
        <v>20338275.752276938</v>
      </c>
      <c r="AD13" s="122">
        <v>23842891.273001689</v>
      </c>
      <c r="AE13" s="122">
        <v>13867822.555717668</v>
      </c>
      <c r="AF13" s="122">
        <v>12575052.908664607</v>
      </c>
      <c r="AG13" s="122">
        <v>14450217.949304415</v>
      </c>
      <c r="AH13" s="122">
        <v>14151832.351117998</v>
      </c>
      <c r="AI13" s="122">
        <v>14661990.288319832</v>
      </c>
      <c r="AJ13" s="122">
        <f>9.15*1000000</f>
        <v>9150000</v>
      </c>
      <c r="AK13" s="122">
        <v>524150.02143000002</v>
      </c>
      <c r="AL13" s="122"/>
      <c r="AM13" s="123"/>
      <c r="AN13" s="123"/>
      <c r="AO13" s="123"/>
      <c r="AP13" s="123"/>
      <c r="AQ13" s="123"/>
      <c r="AR13" s="123"/>
      <c r="AS13" s="83">
        <f t="shared" si="0"/>
        <v>228788193.67081398</v>
      </c>
      <c r="AT13" s="332"/>
      <c r="AU13" s="124">
        <f>1996+15</f>
        <v>2011</v>
      </c>
      <c r="AV13" s="125" t="s">
        <v>185</v>
      </c>
      <c r="AW13" s="473" t="s">
        <v>186</v>
      </c>
    </row>
    <row r="14" spans="1:49" x14ac:dyDescent="0.2">
      <c r="A14" s="425" t="s">
        <v>139</v>
      </c>
      <c r="B14" s="463"/>
      <c r="C14" s="463"/>
      <c r="D14" s="463"/>
      <c r="E14" s="474"/>
      <c r="F14" s="474"/>
      <c r="G14" s="474"/>
      <c r="H14" s="474"/>
      <c r="I14" s="474"/>
      <c r="J14" s="463"/>
      <c r="K14" s="475"/>
      <c r="L14" s="476">
        <v>18024348.62385321</v>
      </c>
      <c r="M14" s="476">
        <v>25277677.280086346</v>
      </c>
      <c r="N14" s="476">
        <v>35149004.856988668</v>
      </c>
      <c r="O14" s="476">
        <v>43167370.750134915</v>
      </c>
      <c r="P14" s="476">
        <f>21381425-451860+1927357+21563077</f>
        <v>44419999</v>
      </c>
      <c r="Q14" s="121">
        <v>51115425</v>
      </c>
      <c r="R14" s="121">
        <v>28757646</v>
      </c>
      <c r="S14" s="121">
        <v>27456579</v>
      </c>
      <c r="T14" s="122">
        <v>48721047</v>
      </c>
      <c r="U14" s="123">
        <v>50724003</v>
      </c>
      <c r="V14" s="121">
        <v>52587448</v>
      </c>
      <c r="W14" s="122">
        <v>68286661</v>
      </c>
      <c r="X14" s="122">
        <v>46576990</v>
      </c>
      <c r="Y14" s="122">
        <v>35329694</v>
      </c>
      <c r="Z14" s="122">
        <v>61167650.515567504</v>
      </c>
      <c r="AA14" s="121">
        <v>53311901.960294828</v>
      </c>
      <c r="AB14" s="122">
        <v>6636160.9287419068</v>
      </c>
      <c r="AC14" s="122">
        <v>17425146.661895875</v>
      </c>
      <c r="AD14" s="122">
        <v>15363324.259661002</v>
      </c>
      <c r="AE14" s="122">
        <v>13930760.448640252</v>
      </c>
      <c r="AF14" s="122">
        <v>20427965.113065865</v>
      </c>
      <c r="AG14" s="122">
        <v>15755601.631871931</v>
      </c>
      <c r="AH14" s="122">
        <v>14902520.576680005</v>
      </c>
      <c r="AI14" s="122">
        <v>14166281.17153956</v>
      </c>
      <c r="AJ14" s="122">
        <f>11.55*1000000</f>
        <v>11550000</v>
      </c>
      <c r="AK14" s="122">
        <v>11127704.670495</v>
      </c>
      <c r="AL14" s="122">
        <v>10942877.649120148</v>
      </c>
      <c r="AM14" s="123">
        <v>12494722.2467265</v>
      </c>
      <c r="AN14" s="123">
        <v>8783131.5014099982</v>
      </c>
      <c r="AO14" s="123">
        <v>10744301.959499998</v>
      </c>
      <c r="AP14" s="123">
        <v>6409036.4339000005</v>
      </c>
      <c r="AQ14" s="123">
        <v>6157378.0485711992</v>
      </c>
      <c r="AR14" s="123">
        <v>18260500.990629598</v>
      </c>
      <c r="AS14" s="82">
        <f t="shared" si="0"/>
        <v>905150860.27937412</v>
      </c>
      <c r="AT14" s="332"/>
      <c r="AU14" s="124">
        <f>1991+18</f>
        <v>2009</v>
      </c>
      <c r="AV14" s="125" t="s">
        <v>187</v>
      </c>
      <c r="AW14" s="473" t="s">
        <v>139</v>
      </c>
    </row>
    <row r="15" spans="1:49" x14ac:dyDescent="0.2">
      <c r="A15" s="425" t="s">
        <v>140</v>
      </c>
      <c r="B15" s="463"/>
      <c r="C15" s="463"/>
      <c r="D15" s="463"/>
      <c r="E15" s="474"/>
      <c r="F15" s="474"/>
      <c r="G15" s="474"/>
      <c r="H15" s="474"/>
      <c r="I15" s="474"/>
      <c r="J15" s="463"/>
      <c r="K15" s="475"/>
      <c r="L15" s="474"/>
      <c r="M15" s="121"/>
      <c r="N15" s="121"/>
      <c r="O15" s="121"/>
      <c r="P15" s="121"/>
      <c r="Q15" s="121"/>
      <c r="R15" s="121"/>
      <c r="S15" s="466"/>
      <c r="T15" s="464"/>
      <c r="U15" s="467"/>
      <c r="V15" s="466"/>
      <c r="W15" s="464"/>
      <c r="X15" s="464"/>
      <c r="Y15" s="464"/>
      <c r="Z15" s="464"/>
      <c r="AA15" s="466"/>
      <c r="AB15" s="122">
        <v>776829.65367046255</v>
      </c>
      <c r="AC15" s="122">
        <v>622738.1761953719</v>
      </c>
      <c r="AD15" s="122">
        <v>557873.29463166394</v>
      </c>
      <c r="AE15" s="122">
        <v>115424.90982625794</v>
      </c>
      <c r="AF15" s="122">
        <v>29590.046157024168</v>
      </c>
      <c r="AG15" s="122">
        <v>104265.96041853167</v>
      </c>
      <c r="AH15" s="122">
        <v>156817.9118</v>
      </c>
      <c r="AI15" s="122">
        <v>41553.464179499999</v>
      </c>
      <c r="AJ15" s="122">
        <f>0.03*1000000</f>
        <v>30000</v>
      </c>
      <c r="AK15" s="122">
        <v>0</v>
      </c>
      <c r="AL15" s="122"/>
      <c r="AM15" s="123"/>
      <c r="AN15" s="123"/>
      <c r="AO15" s="123"/>
      <c r="AP15" s="123"/>
      <c r="AQ15" s="123"/>
      <c r="AR15" s="123"/>
      <c r="AS15" s="83">
        <f t="shared" si="0"/>
        <v>2435093.416878812</v>
      </c>
      <c r="AT15" s="332"/>
      <c r="AU15" s="128"/>
      <c r="AV15" s="110"/>
      <c r="AW15" s="477"/>
    </row>
    <row r="16" spans="1:49" x14ac:dyDescent="0.2">
      <c r="A16" s="425" t="s">
        <v>141</v>
      </c>
      <c r="B16" s="463"/>
      <c r="C16" s="463"/>
      <c r="D16" s="463"/>
      <c r="E16" s="474"/>
      <c r="F16" s="474"/>
      <c r="G16" s="474"/>
      <c r="H16" s="474"/>
      <c r="I16" s="474"/>
      <c r="J16" s="463"/>
      <c r="K16" s="475"/>
      <c r="L16" s="474"/>
      <c r="M16" s="121"/>
      <c r="N16" s="121"/>
      <c r="O16" s="121"/>
      <c r="P16" s="121"/>
      <c r="Q16" s="121"/>
      <c r="R16" s="121"/>
      <c r="S16" s="466"/>
      <c r="T16" s="464"/>
      <c r="U16" s="467"/>
      <c r="V16" s="466"/>
      <c r="W16" s="464"/>
      <c r="X16" s="464"/>
      <c r="Y16" s="464"/>
      <c r="Z16" s="464"/>
      <c r="AA16" s="466"/>
      <c r="AB16" s="122">
        <v>317271.6501507971</v>
      </c>
      <c r="AC16" s="122">
        <v>3418753.3729087966</v>
      </c>
      <c r="AD16" s="122">
        <v>573515.75099451665</v>
      </c>
      <c r="AE16" s="122">
        <v>210137.87479220508</v>
      </c>
      <c r="AF16" s="122">
        <v>739127.07756999787</v>
      </c>
      <c r="AG16" s="122">
        <v>313063.13464329508</v>
      </c>
      <c r="AH16" s="122">
        <v>341636.97326000012</v>
      </c>
      <c r="AI16" s="122">
        <v>4586527.7677362002</v>
      </c>
      <c r="AJ16" s="122">
        <f>0.43*1000000</f>
        <v>430000</v>
      </c>
      <c r="AK16" s="122">
        <v>0</v>
      </c>
      <c r="AL16" s="122"/>
      <c r="AM16" s="123"/>
      <c r="AN16" s="123"/>
      <c r="AO16" s="123"/>
      <c r="AP16" s="123"/>
      <c r="AQ16" s="123"/>
      <c r="AR16" s="123"/>
      <c r="AS16" s="83">
        <f t="shared" si="0"/>
        <v>10930033.602055809</v>
      </c>
      <c r="AT16" s="332"/>
      <c r="AU16" s="124">
        <f>2007+15</f>
        <v>2022</v>
      </c>
      <c r="AV16" s="125" t="s">
        <v>188</v>
      </c>
      <c r="AW16" s="473" t="s">
        <v>189</v>
      </c>
    </row>
    <row r="17" spans="1:64" ht="13.5" thickBot="1" x14ac:dyDescent="0.25">
      <c r="A17" s="431" t="s">
        <v>142</v>
      </c>
      <c r="B17" s="478"/>
      <c r="C17" s="478"/>
      <c r="D17" s="478"/>
      <c r="E17" s="474"/>
      <c r="F17" s="474"/>
      <c r="G17" s="474"/>
      <c r="H17" s="474"/>
      <c r="I17" s="474"/>
      <c r="J17" s="478"/>
      <c r="K17" s="475"/>
      <c r="L17" s="474"/>
      <c r="M17" s="121"/>
      <c r="N17" s="121"/>
      <c r="O17" s="121"/>
      <c r="P17" s="121"/>
      <c r="Q17" s="121"/>
      <c r="R17" s="121"/>
      <c r="S17" s="466"/>
      <c r="T17" s="479"/>
      <c r="U17" s="480"/>
      <c r="V17" s="481"/>
      <c r="W17" s="482"/>
      <c r="X17" s="482"/>
      <c r="Y17" s="482"/>
      <c r="Z17" s="482"/>
      <c r="AA17" s="481"/>
      <c r="AB17" s="482"/>
      <c r="AC17" s="482"/>
      <c r="AD17" s="482"/>
      <c r="AE17" s="482"/>
      <c r="AF17" s="482">
        <v>1057490.2234636871</v>
      </c>
      <c r="AG17" s="482">
        <v>2339833.1876817364</v>
      </c>
      <c r="AH17" s="482">
        <v>3861264.7009570268</v>
      </c>
      <c r="AI17" s="482">
        <v>2808712.1368845757</v>
      </c>
      <c r="AJ17" s="482">
        <f>2.91*1000000</f>
        <v>2910000</v>
      </c>
      <c r="AK17" s="482">
        <v>0</v>
      </c>
      <c r="AL17" s="482"/>
      <c r="AM17" s="480"/>
      <c r="AN17" s="480"/>
      <c r="AO17" s="480"/>
      <c r="AP17" s="480"/>
      <c r="AQ17" s="480"/>
      <c r="AR17" s="480"/>
      <c r="AS17" s="432">
        <f t="shared" si="0"/>
        <v>12977300.248987027</v>
      </c>
      <c r="AT17" s="332"/>
      <c r="AU17" s="129">
        <f>2007+14</f>
        <v>2021</v>
      </c>
      <c r="AV17" s="130" t="s">
        <v>190</v>
      </c>
      <c r="AW17" s="483" t="s">
        <v>191</v>
      </c>
      <c r="AX17" s="411"/>
    </row>
    <row r="18" spans="1:64" s="487" customFormat="1" ht="14.25" thickTop="1" thickBot="1" x14ac:dyDescent="0.25">
      <c r="A18" s="484" t="s">
        <v>192</v>
      </c>
      <c r="B18" s="484"/>
      <c r="C18" s="484"/>
      <c r="D18" s="484"/>
      <c r="E18" s="485">
        <f t="shared" ref="E18:M18" si="1">SUM(E8:E17)</f>
        <v>3669724.7706422019</v>
      </c>
      <c r="F18" s="485">
        <f t="shared" si="1"/>
        <v>20075553.157042634</v>
      </c>
      <c r="G18" s="485">
        <f t="shared" si="1"/>
        <v>7015650.2968159737</v>
      </c>
      <c r="H18" s="485">
        <f t="shared" si="1"/>
        <v>5504587.1559633026</v>
      </c>
      <c r="I18" s="485">
        <f t="shared" si="1"/>
        <v>3022126.2817053427</v>
      </c>
      <c r="J18" s="485">
        <f t="shared" si="1"/>
        <v>4317323.2595790606</v>
      </c>
      <c r="K18" s="485">
        <f t="shared" si="1"/>
        <v>13923367.512142472</v>
      </c>
      <c r="L18" s="485">
        <f t="shared" si="1"/>
        <v>24845719.373988125</v>
      </c>
      <c r="M18" s="485">
        <f t="shared" si="1"/>
        <v>35542113.329735562</v>
      </c>
      <c r="N18" s="485">
        <f>SUM(N9:N17)</f>
        <v>82558021.586616307</v>
      </c>
      <c r="O18" s="485">
        <f>SUM(O9:O17)</f>
        <v>154887452.77927685</v>
      </c>
      <c r="P18" s="485">
        <f>SUM(P9:P17)</f>
        <v>220506436</v>
      </c>
      <c r="Q18" s="131">
        <f>SUM(Q9:Q17)</f>
        <v>362713533</v>
      </c>
      <c r="R18" s="131">
        <f>SUM(R9:R17)</f>
        <v>134441237</v>
      </c>
      <c r="S18" s="131">
        <f t="shared" ref="S18:AH18" si="2">SUM(S8:S17)</f>
        <v>105037993</v>
      </c>
      <c r="T18" s="131">
        <f t="shared" si="2"/>
        <v>82788478</v>
      </c>
      <c r="U18" s="131">
        <f t="shared" si="2"/>
        <v>69272720</v>
      </c>
      <c r="V18" s="131">
        <f t="shared" si="2"/>
        <v>111274483</v>
      </c>
      <c r="W18" s="131">
        <f t="shared" si="2"/>
        <v>93965730</v>
      </c>
      <c r="X18" s="131">
        <f t="shared" si="2"/>
        <v>119427989</v>
      </c>
      <c r="Y18" s="131">
        <f t="shared" si="2"/>
        <v>74968863</v>
      </c>
      <c r="Z18" s="131">
        <f t="shared" si="2"/>
        <v>99857204.287332833</v>
      </c>
      <c r="AA18" s="131">
        <f t="shared" si="2"/>
        <v>107789718.66882202</v>
      </c>
      <c r="AB18" s="131">
        <f t="shared" si="2"/>
        <v>164393038.42115971</v>
      </c>
      <c r="AC18" s="131">
        <f t="shared" si="2"/>
        <v>60713356.089797519</v>
      </c>
      <c r="AD18" s="131">
        <f t="shared" si="2"/>
        <v>69663291.335950032</v>
      </c>
      <c r="AE18" s="131">
        <f t="shared" si="2"/>
        <v>62730273.635087945</v>
      </c>
      <c r="AF18" s="131">
        <f t="shared" si="2"/>
        <v>64874485.022693813</v>
      </c>
      <c r="AG18" s="131">
        <f t="shared" si="2"/>
        <v>69917320.392623991</v>
      </c>
      <c r="AH18" s="132">
        <f t="shared" si="2"/>
        <v>75462924.924281031</v>
      </c>
      <c r="AI18" s="132">
        <f>SUM(AI8:AI17)</f>
        <v>58972045.845895611</v>
      </c>
      <c r="AJ18" s="132">
        <f>SUM(AJ8:AJ17)</f>
        <v>130670000</v>
      </c>
      <c r="AK18" s="132">
        <f>SUM(AK8:AK17)</f>
        <v>40020142.810325995</v>
      </c>
      <c r="AL18" s="132">
        <f>SUM(AL8:AL17)</f>
        <v>47497376.555820152</v>
      </c>
      <c r="AM18" s="133">
        <f>SUM(AM8:AM17)</f>
        <v>63050938.0122765</v>
      </c>
      <c r="AN18" s="133">
        <f t="shared" ref="AN18:AR18" si="3">SUM(AN8:AN17)</f>
        <v>32340819.43637</v>
      </c>
      <c r="AO18" s="133">
        <f t="shared" si="3"/>
        <v>30211991.399399988</v>
      </c>
      <c r="AP18" s="133">
        <f t="shared" si="3"/>
        <v>17410568.478250001</v>
      </c>
      <c r="AQ18" s="133">
        <f t="shared" si="3"/>
        <v>16721287.059611196</v>
      </c>
      <c r="AR18" s="133">
        <f t="shared" si="3"/>
        <v>49644696.386230394</v>
      </c>
      <c r="AS18" s="486">
        <f t="shared" si="0"/>
        <v>2991700580.2654366</v>
      </c>
      <c r="AX18" s="411"/>
    </row>
    <row r="19" spans="1:64" ht="14.25" thickTop="1" thickBot="1" x14ac:dyDescent="0.25">
      <c r="A19" s="488"/>
      <c r="L19" s="119"/>
      <c r="M19" s="119"/>
      <c r="N19" s="119"/>
      <c r="O19" s="119"/>
      <c r="P19" s="119"/>
      <c r="Q19" s="119"/>
      <c r="R19" s="119"/>
      <c r="AC19" s="119"/>
      <c r="AD19" s="119"/>
      <c r="AE19" s="119"/>
      <c r="AF19" s="119"/>
      <c r="AG19" s="119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34">
        <f>SUM(AS8:AS17)/1000000</f>
        <v>2991.7005802654367</v>
      </c>
      <c r="AU19" s="411"/>
      <c r="AV19" s="411"/>
      <c r="AW19" s="411"/>
      <c r="AX19" s="411"/>
    </row>
    <row r="20" spans="1:64" ht="14.25" thickTop="1" thickBot="1" x14ac:dyDescent="0.25"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AB20" s="135"/>
      <c r="AC20" s="119"/>
      <c r="AD20" s="119"/>
      <c r="AE20" s="119"/>
      <c r="AF20" s="119"/>
      <c r="AG20" s="119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41">
        <f>SUM(AS8:AS17)</f>
        <v>2991700580.2654366</v>
      </c>
      <c r="AU20" s="411"/>
      <c r="AV20" s="489" t="s">
        <v>193</v>
      </c>
      <c r="AW20" s="490"/>
      <c r="AX20" s="411"/>
      <c r="AY20" s="491" t="s">
        <v>194</v>
      </c>
      <c r="AZ20" s="398"/>
      <c r="BA20" s="354"/>
      <c r="BB20" s="398"/>
      <c r="BC20" s="398"/>
      <c r="BD20" s="492"/>
      <c r="BE20" s="492"/>
      <c r="BF20" s="492"/>
      <c r="BG20" s="492"/>
      <c r="BH20" s="492"/>
      <c r="BI20" s="492"/>
      <c r="BJ20" s="492"/>
      <c r="BK20" s="492"/>
      <c r="BL20" s="493"/>
    </row>
    <row r="21" spans="1:64" ht="13.5" thickTop="1" x14ac:dyDescent="0.2">
      <c r="A21" s="488"/>
      <c r="P21" s="494"/>
      <c r="Q21" s="119"/>
      <c r="R21" s="119"/>
      <c r="AB21" s="135"/>
      <c r="AC21" s="119"/>
      <c r="AD21" s="119"/>
      <c r="AE21" s="119"/>
      <c r="AF21" s="119"/>
      <c r="AG21" s="119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411"/>
      <c r="AT21" s="411"/>
      <c r="AU21" s="411"/>
      <c r="AV21" s="495">
        <f>+AS18</f>
        <v>2991700580.2654366</v>
      </c>
      <c r="AW21" s="496" t="s">
        <v>195</v>
      </c>
      <c r="AX21" s="411"/>
      <c r="AY21" s="497" t="s">
        <v>196</v>
      </c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498"/>
    </row>
    <row r="22" spans="1:64" ht="12.75" x14ac:dyDescent="0.2">
      <c r="A22" s="488"/>
      <c r="O22" s="119"/>
      <c r="P22" s="119"/>
      <c r="Q22" s="119"/>
      <c r="R22" s="119"/>
      <c r="AB22" s="135"/>
      <c r="AC22" s="119"/>
      <c r="AD22" s="119"/>
      <c r="AE22" s="119"/>
      <c r="AF22" s="119"/>
      <c r="AG22" s="119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411"/>
      <c r="AT22" s="411"/>
      <c r="AU22" s="411"/>
      <c r="AV22" s="499">
        <f>+BL29</f>
        <v>1083553485.5035079</v>
      </c>
      <c r="AW22" s="500" t="s">
        <v>197</v>
      </c>
      <c r="AX22" s="411"/>
      <c r="AY22" s="501"/>
      <c r="AZ22" s="136" t="s">
        <v>198</v>
      </c>
      <c r="BA22" s="385">
        <v>2006</v>
      </c>
      <c r="BB22" s="385">
        <v>2007</v>
      </c>
      <c r="BC22" s="385">
        <v>2008</v>
      </c>
      <c r="BD22" s="385">
        <v>2009</v>
      </c>
      <c r="BE22" s="385">
        <v>2010</v>
      </c>
      <c r="BF22" s="385">
        <v>2011</v>
      </c>
      <c r="BG22" s="385">
        <v>2012</v>
      </c>
      <c r="BH22" s="385">
        <v>2013</v>
      </c>
      <c r="BI22" s="385">
        <v>2014</v>
      </c>
      <c r="BJ22" s="385">
        <v>2015</v>
      </c>
      <c r="BK22" s="385">
        <v>2016</v>
      </c>
      <c r="BL22" s="502" t="s">
        <v>199</v>
      </c>
    </row>
    <row r="23" spans="1:64" ht="13.5" thickBot="1" x14ac:dyDescent="0.25">
      <c r="A23" s="488"/>
      <c r="M23" s="119"/>
      <c r="N23" s="119"/>
      <c r="O23" s="119"/>
      <c r="P23" s="119"/>
      <c r="Q23" s="119"/>
      <c r="R23" s="119"/>
      <c r="AB23" s="135"/>
      <c r="AC23" s="119"/>
      <c r="AD23" s="119"/>
      <c r="AE23" s="119"/>
      <c r="AF23" s="119"/>
      <c r="AG23" s="119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34"/>
      <c r="AT23" s="411"/>
      <c r="AU23" s="411"/>
      <c r="AV23" s="495">
        <f>+AV21-AV22</f>
        <v>1908147094.7619288</v>
      </c>
      <c r="AW23" s="503"/>
      <c r="AX23" s="411"/>
      <c r="AY23" s="497" t="s">
        <v>200</v>
      </c>
      <c r="BA23" s="359"/>
      <c r="BB23" s="359"/>
      <c r="BC23" s="359"/>
      <c r="BD23" s="359">
        <f t="shared" ref="BD23:BK23" si="4">+L14</f>
        <v>18024348.62385321</v>
      </c>
      <c r="BE23" s="359">
        <f t="shared" si="4"/>
        <v>25277677.280086346</v>
      </c>
      <c r="BF23" s="359">
        <f t="shared" si="4"/>
        <v>35149004.856988668</v>
      </c>
      <c r="BG23" s="359">
        <f t="shared" si="4"/>
        <v>43167370.750134915</v>
      </c>
      <c r="BH23" s="359">
        <f t="shared" si="4"/>
        <v>44419999</v>
      </c>
      <c r="BI23" s="359">
        <f t="shared" si="4"/>
        <v>51115425</v>
      </c>
      <c r="BJ23" s="359">
        <f t="shared" si="4"/>
        <v>28757646</v>
      </c>
      <c r="BK23" s="359">
        <f t="shared" si="4"/>
        <v>27456579</v>
      </c>
      <c r="BL23" s="504">
        <f>SUM(AZ23:BK23)</f>
        <v>273368050.51106316</v>
      </c>
    </row>
    <row r="24" spans="1:64" ht="13.5" thickTop="1" x14ac:dyDescent="0.2">
      <c r="A24" s="488"/>
      <c r="M24" s="119"/>
      <c r="N24" s="119"/>
      <c r="O24" s="119"/>
      <c r="P24" s="119"/>
      <c r="Q24" s="119"/>
      <c r="R24" s="119"/>
      <c r="AB24" s="135"/>
      <c r="AC24" s="119"/>
      <c r="AD24" s="119"/>
      <c r="AE24" s="119"/>
      <c r="AF24" s="119"/>
      <c r="AG24" s="119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34"/>
      <c r="AT24" s="411"/>
      <c r="AU24" s="411"/>
      <c r="AV24" s="505">
        <f>+AV23/1000</f>
        <v>1908147.0947619288</v>
      </c>
      <c r="AW24" s="506" t="s">
        <v>201</v>
      </c>
      <c r="AX24" s="411"/>
      <c r="AY24" s="497" t="s">
        <v>202</v>
      </c>
      <c r="BA24" s="359"/>
      <c r="BB24" s="359"/>
      <c r="BC24" s="359">
        <f>+N10</f>
        <v>32247.166756610903</v>
      </c>
      <c r="BD24" s="359">
        <f>+O10</f>
        <v>221107.39341608202</v>
      </c>
      <c r="BE24" s="359">
        <f>+P10</f>
        <v>158383</v>
      </c>
      <c r="BF24" s="359">
        <f>+Q10</f>
        <v>78270</v>
      </c>
      <c r="BG24" s="359">
        <f>+R10</f>
        <v>860</v>
      </c>
      <c r="BH24" s="359"/>
      <c r="BI24" s="359"/>
      <c r="BJ24" s="359"/>
      <c r="BK24" s="359"/>
      <c r="BL24" s="504">
        <f t="shared" ref="BL24:BL28" si="5">SUM(AZ24:BK24)</f>
        <v>490867.56017269293</v>
      </c>
    </row>
    <row r="25" spans="1:64" ht="13.5" thickBot="1" x14ac:dyDescent="0.25">
      <c r="A25" s="488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11"/>
      <c r="AU25" s="411"/>
      <c r="AV25" s="611" t="s">
        <v>263</v>
      </c>
      <c r="AW25" s="612"/>
      <c r="AX25" s="411"/>
      <c r="AY25" s="497" t="s">
        <v>370</v>
      </c>
      <c r="AZ25" s="110">
        <f>+E9+F9</f>
        <v>23745277.927684836</v>
      </c>
      <c r="BA25" s="359">
        <f t="shared" ref="BA25:BK25" si="6">+G9</f>
        <v>7015650.2968159737</v>
      </c>
      <c r="BB25" s="359">
        <f t="shared" si="6"/>
        <v>5504587.1559633026</v>
      </c>
      <c r="BC25" s="359">
        <f t="shared" si="6"/>
        <v>3022126.2817053427</v>
      </c>
      <c r="BD25" s="359">
        <f t="shared" si="6"/>
        <v>4317323.2595790606</v>
      </c>
      <c r="BE25" s="359">
        <f t="shared" si="6"/>
        <v>13923367.512142472</v>
      </c>
      <c r="BF25" s="359">
        <f t="shared" si="6"/>
        <v>6821370.750134916</v>
      </c>
      <c r="BG25" s="359">
        <f t="shared" si="6"/>
        <v>10264436.049649218</v>
      </c>
      <c r="BH25" s="359">
        <f t="shared" si="6"/>
        <v>47376769.562871024</v>
      </c>
      <c r="BI25" s="359">
        <f t="shared" si="6"/>
        <v>111498974.63572586</v>
      </c>
      <c r="BJ25" s="359">
        <f t="shared" si="6"/>
        <v>173699764</v>
      </c>
      <c r="BK25" s="359">
        <f t="shared" si="6"/>
        <v>307450192</v>
      </c>
      <c r="BL25" s="504">
        <f t="shared" si="5"/>
        <v>714639839.43227196</v>
      </c>
    </row>
    <row r="26" spans="1:64" ht="14.25" thickTop="1" thickBot="1" x14ac:dyDescent="0.25">
      <c r="A26" s="806" t="s">
        <v>371</v>
      </c>
      <c r="B26" s="807"/>
      <c r="C26" s="807"/>
      <c r="D26" s="807"/>
      <c r="E26" s="807"/>
      <c r="F26" s="807"/>
      <c r="G26" s="807"/>
      <c r="H26" s="807"/>
      <c r="I26" s="807"/>
      <c r="J26" s="807"/>
      <c r="K26" s="807"/>
      <c r="L26" s="807"/>
      <c r="M26" s="138"/>
      <c r="N26" s="138"/>
      <c r="O26" s="138"/>
      <c r="P26" s="138"/>
      <c r="Q26" s="138"/>
      <c r="R26" s="138"/>
      <c r="S26" s="807"/>
      <c r="T26" s="807"/>
      <c r="U26" s="807"/>
      <c r="V26" s="807"/>
      <c r="W26" s="807"/>
      <c r="X26" s="807"/>
      <c r="Y26" s="807"/>
      <c r="Z26" s="807"/>
      <c r="AA26" s="807"/>
      <c r="AB26" s="137"/>
      <c r="AC26" s="138"/>
      <c r="AD26" s="138"/>
      <c r="AE26" s="138"/>
      <c r="AF26" s="138"/>
      <c r="AG26" s="138"/>
      <c r="AH26" s="139"/>
      <c r="AI26" s="139"/>
      <c r="AJ26" s="139"/>
      <c r="AK26" s="140"/>
      <c r="AL26" s="140"/>
      <c r="AM26" s="140"/>
      <c r="AN26" s="140"/>
      <c r="AO26" s="140"/>
      <c r="AP26" s="140"/>
      <c r="AQ26" s="140"/>
      <c r="AR26" s="140"/>
      <c r="AS26" s="80" t="s">
        <v>262</v>
      </c>
      <c r="AT26" s="411"/>
      <c r="AU26" s="411"/>
      <c r="AV26" s="611"/>
      <c r="AW26" s="612"/>
      <c r="AX26" s="411"/>
      <c r="AY26" s="497" t="s">
        <v>372</v>
      </c>
      <c r="BA26" s="359"/>
      <c r="BB26" s="359"/>
      <c r="BC26" s="359"/>
      <c r="BD26" s="359"/>
      <c r="BE26" s="359">
        <f t="shared" ref="BE26:BK26" si="7">+P12</f>
        <v>2228290</v>
      </c>
      <c r="BF26" s="359">
        <f t="shared" si="7"/>
        <v>2630156</v>
      </c>
      <c r="BG26" s="359">
        <f t="shared" si="7"/>
        <v>238609</v>
      </c>
      <c r="BH26" s="359">
        <f t="shared" si="7"/>
        <v>0</v>
      </c>
      <c r="BI26" s="359">
        <f t="shared" si="7"/>
        <v>0</v>
      </c>
      <c r="BJ26" s="359">
        <f t="shared" si="7"/>
        <v>0</v>
      </c>
      <c r="BK26" s="359">
        <f t="shared" si="7"/>
        <v>40267290</v>
      </c>
      <c r="BL26" s="504">
        <f t="shared" si="5"/>
        <v>45364345</v>
      </c>
    </row>
    <row r="27" spans="1:64" s="813" customFormat="1" ht="14.25" thickTop="1" thickBot="1" x14ac:dyDescent="0.25">
      <c r="A27" s="808"/>
      <c r="B27" s="809">
        <v>1981</v>
      </c>
      <c r="C27" s="809">
        <v>1982</v>
      </c>
      <c r="D27" s="809">
        <v>1983</v>
      </c>
      <c r="E27" s="810">
        <v>1984</v>
      </c>
      <c r="F27" s="810">
        <v>1985</v>
      </c>
      <c r="G27" s="810">
        <v>1986</v>
      </c>
      <c r="H27" s="810">
        <v>1987</v>
      </c>
      <c r="I27" s="810">
        <v>1988</v>
      </c>
      <c r="J27" s="810">
        <v>1989</v>
      </c>
      <c r="K27" s="810" t="s">
        <v>35</v>
      </c>
      <c r="L27" s="810" t="s">
        <v>36</v>
      </c>
      <c r="M27" s="810">
        <v>1992</v>
      </c>
      <c r="N27" s="810">
        <v>1993</v>
      </c>
      <c r="O27" s="810">
        <v>1994</v>
      </c>
      <c r="P27" s="810">
        <v>1995</v>
      </c>
      <c r="Q27" s="810">
        <v>1996</v>
      </c>
      <c r="R27" s="810">
        <v>1997</v>
      </c>
      <c r="S27" s="810">
        <v>1998</v>
      </c>
      <c r="T27" s="810">
        <v>1999</v>
      </c>
      <c r="U27" s="810">
        <v>2000</v>
      </c>
      <c r="V27" s="810">
        <v>2001</v>
      </c>
      <c r="W27" s="810">
        <v>2002</v>
      </c>
      <c r="X27" s="810">
        <v>2003</v>
      </c>
      <c r="Y27" s="810">
        <v>2004</v>
      </c>
      <c r="Z27" s="810">
        <v>2005</v>
      </c>
      <c r="AA27" s="810" t="s">
        <v>116</v>
      </c>
      <c r="AB27" s="810" t="s">
        <v>373</v>
      </c>
      <c r="AC27" s="810" t="s">
        <v>374</v>
      </c>
      <c r="AD27" s="810" t="s">
        <v>375</v>
      </c>
      <c r="AE27" s="810" t="s">
        <v>376</v>
      </c>
      <c r="AF27" s="810" t="s">
        <v>377</v>
      </c>
      <c r="AG27" s="810" t="s">
        <v>378</v>
      </c>
      <c r="AH27" s="811">
        <v>2013</v>
      </c>
      <c r="AI27" s="811">
        <v>2014</v>
      </c>
      <c r="AJ27" s="811">
        <v>2015</v>
      </c>
      <c r="AK27" s="811">
        <v>2016</v>
      </c>
      <c r="AL27" s="812">
        <v>2017</v>
      </c>
      <c r="AM27" s="811">
        <v>2018</v>
      </c>
      <c r="AN27" s="812">
        <v>2019</v>
      </c>
      <c r="AO27" s="811">
        <v>2020</v>
      </c>
      <c r="AP27" s="812">
        <v>2021</v>
      </c>
      <c r="AQ27" s="811">
        <v>2022</v>
      </c>
      <c r="AR27" s="812">
        <v>2023</v>
      </c>
      <c r="AS27" s="81" t="s">
        <v>199</v>
      </c>
      <c r="AT27" s="411"/>
      <c r="AU27" s="411"/>
      <c r="AV27" s="620" t="s">
        <v>379</v>
      </c>
      <c r="AW27" s="621"/>
      <c r="AX27" s="418"/>
      <c r="AY27" s="497" t="s">
        <v>380</v>
      </c>
      <c r="AZ27" s="402"/>
      <c r="BA27" s="359"/>
      <c r="BB27" s="359"/>
      <c r="BC27" s="359"/>
      <c r="BD27" s="359"/>
      <c r="BE27" s="359"/>
      <c r="BF27" s="359">
        <f t="shared" ref="BF27:BK27" si="8">+Q13</f>
        <v>1439490</v>
      </c>
      <c r="BG27" s="359">
        <f t="shared" si="8"/>
        <v>24808281</v>
      </c>
      <c r="BH27" s="359">
        <f t="shared" si="8"/>
        <v>7002519</v>
      </c>
      <c r="BI27" s="359">
        <f t="shared" si="8"/>
        <v>8731139</v>
      </c>
      <c r="BJ27" s="359">
        <f t="shared" si="8"/>
        <v>5466372</v>
      </c>
      <c r="BK27" s="359">
        <f t="shared" si="8"/>
        <v>2242582</v>
      </c>
      <c r="BL27" s="504">
        <f t="shared" si="5"/>
        <v>49690383</v>
      </c>
    </row>
    <row r="28" spans="1:64" ht="13.5" thickTop="1" x14ac:dyDescent="0.2">
      <c r="A28" s="616">
        <v>1984</v>
      </c>
      <c r="B28" s="738"/>
      <c r="C28" s="738"/>
      <c r="D28" s="738"/>
      <c r="E28" s="122">
        <f>+E18/2</f>
        <v>1834862.3853211009</v>
      </c>
      <c r="F28" s="122">
        <f>+E18</f>
        <v>3669724.7706422019</v>
      </c>
      <c r="G28" s="122">
        <f t="shared" ref="G28:AM36" si="9">+F28</f>
        <v>3669724.7706422019</v>
      </c>
      <c r="H28" s="122">
        <f t="shared" si="9"/>
        <v>3669724.7706422019</v>
      </c>
      <c r="I28" s="122">
        <f t="shared" si="9"/>
        <v>3669724.7706422019</v>
      </c>
      <c r="J28" s="122">
        <f t="shared" si="9"/>
        <v>3669724.7706422019</v>
      </c>
      <c r="K28" s="122">
        <f t="shared" si="9"/>
        <v>3669724.7706422019</v>
      </c>
      <c r="L28" s="122">
        <f t="shared" si="9"/>
        <v>3669724.7706422019</v>
      </c>
      <c r="M28" s="122">
        <f t="shared" si="9"/>
        <v>3669724.7706422019</v>
      </c>
      <c r="N28" s="122">
        <f t="shared" si="9"/>
        <v>3669724.7706422019</v>
      </c>
      <c r="O28" s="122">
        <f t="shared" si="9"/>
        <v>3669724.7706422019</v>
      </c>
      <c r="P28" s="122">
        <f t="shared" si="9"/>
        <v>3669724.7706422019</v>
      </c>
      <c r="Q28" s="122">
        <f t="shared" si="9"/>
        <v>3669724.7706422019</v>
      </c>
      <c r="R28" s="122">
        <f t="shared" si="9"/>
        <v>3669724.7706422019</v>
      </c>
      <c r="S28" s="122">
        <f t="shared" si="9"/>
        <v>3669724.7706422019</v>
      </c>
      <c r="T28" s="122">
        <f t="shared" si="9"/>
        <v>3669724.7706422019</v>
      </c>
      <c r="U28" s="122">
        <f t="shared" si="9"/>
        <v>3669724.7706422019</v>
      </c>
      <c r="V28" s="122">
        <f t="shared" si="9"/>
        <v>3669724.7706422019</v>
      </c>
      <c r="W28" s="122">
        <f t="shared" si="9"/>
        <v>3669724.7706422019</v>
      </c>
      <c r="X28" s="122">
        <f t="shared" si="9"/>
        <v>3669724.7706422019</v>
      </c>
      <c r="Y28" s="122">
        <f t="shared" si="9"/>
        <v>3669724.7706422019</v>
      </c>
      <c r="Z28" s="122">
        <f t="shared" si="9"/>
        <v>3669724.7706422019</v>
      </c>
      <c r="AA28" s="122">
        <f t="shared" si="9"/>
        <v>3669724.7706422019</v>
      </c>
      <c r="AB28" s="122">
        <f t="shared" si="9"/>
        <v>3669724.7706422019</v>
      </c>
      <c r="AC28" s="122">
        <f t="shared" si="9"/>
        <v>3669724.7706422019</v>
      </c>
      <c r="AD28" s="122">
        <f t="shared" si="9"/>
        <v>3669724.7706422019</v>
      </c>
      <c r="AE28" s="122">
        <f t="shared" si="9"/>
        <v>3669724.7706422019</v>
      </c>
      <c r="AF28" s="122">
        <f t="shared" si="9"/>
        <v>3669724.7706422019</v>
      </c>
      <c r="AG28" s="122">
        <f t="shared" si="9"/>
        <v>3669724.7706422019</v>
      </c>
      <c r="AH28" s="122">
        <f t="shared" si="9"/>
        <v>3669724.7706422019</v>
      </c>
      <c r="AI28" s="122">
        <f t="shared" si="9"/>
        <v>3669724.7706422019</v>
      </c>
      <c r="AJ28" s="122">
        <f t="shared" si="9"/>
        <v>3669724.7706422019</v>
      </c>
      <c r="AK28" s="122">
        <f t="shared" si="9"/>
        <v>3669724.7706422019</v>
      </c>
      <c r="AL28" s="122">
        <f t="shared" si="9"/>
        <v>3669724.7706422019</v>
      </c>
      <c r="AM28" s="122">
        <f t="shared" si="9"/>
        <v>3669724.7706422019</v>
      </c>
      <c r="AN28" s="122">
        <f t="shared" ref="AN28:AR43" si="10">+AM28</f>
        <v>3669724.7706422019</v>
      </c>
      <c r="AO28" s="122">
        <f t="shared" si="10"/>
        <v>3669724.7706422019</v>
      </c>
      <c r="AP28" s="122">
        <f t="shared" si="10"/>
        <v>3669724.7706422019</v>
      </c>
      <c r="AQ28" s="122">
        <f t="shared" si="10"/>
        <v>3669724.7706422019</v>
      </c>
      <c r="AR28" s="122">
        <f t="shared" si="10"/>
        <v>3669724.7706422019</v>
      </c>
      <c r="AS28" s="82">
        <f>SUM(E28:AR28)</f>
        <v>144954128.44036701</v>
      </c>
      <c r="AT28" s="141"/>
      <c r="AU28" s="411"/>
      <c r="AV28" s="626">
        <v>2250276833.7591181</v>
      </c>
      <c r="AW28" s="627" t="s">
        <v>268</v>
      </c>
      <c r="AX28" s="411"/>
      <c r="AY28" s="814"/>
      <c r="BL28" s="504">
        <f t="shared" si="5"/>
        <v>0</v>
      </c>
    </row>
    <row r="29" spans="1:64" ht="12.75" x14ac:dyDescent="0.2">
      <c r="A29" s="622">
        <v>1985</v>
      </c>
      <c r="B29" s="642"/>
      <c r="C29" s="642"/>
      <c r="D29" s="642"/>
      <c r="E29" s="50"/>
      <c r="F29" s="50">
        <f>+F18/2</f>
        <v>10037776.578521317</v>
      </c>
      <c r="G29" s="50">
        <f>+F18</f>
        <v>20075553.157042634</v>
      </c>
      <c r="H29" s="50">
        <f t="shared" si="9"/>
        <v>20075553.157042634</v>
      </c>
      <c r="I29" s="50">
        <f t="shared" si="9"/>
        <v>20075553.157042634</v>
      </c>
      <c r="J29" s="50">
        <f t="shared" si="9"/>
        <v>20075553.157042634</v>
      </c>
      <c r="K29" s="50">
        <f t="shared" si="9"/>
        <v>20075553.157042634</v>
      </c>
      <c r="L29" s="50">
        <f t="shared" si="9"/>
        <v>20075553.157042634</v>
      </c>
      <c r="M29" s="50">
        <f t="shared" si="9"/>
        <v>20075553.157042634</v>
      </c>
      <c r="N29" s="50">
        <f t="shared" si="9"/>
        <v>20075553.157042634</v>
      </c>
      <c r="O29" s="50">
        <f t="shared" si="9"/>
        <v>20075553.157042634</v>
      </c>
      <c r="P29" s="50">
        <f t="shared" si="9"/>
        <v>20075553.157042634</v>
      </c>
      <c r="Q29" s="50">
        <f t="shared" si="9"/>
        <v>20075553.157042634</v>
      </c>
      <c r="R29" s="50">
        <f t="shared" si="9"/>
        <v>20075553.157042634</v>
      </c>
      <c r="S29" s="50">
        <f t="shared" si="9"/>
        <v>20075553.157042634</v>
      </c>
      <c r="T29" s="50">
        <f t="shared" si="9"/>
        <v>20075553.157042634</v>
      </c>
      <c r="U29" s="50">
        <f t="shared" si="9"/>
        <v>20075553.157042634</v>
      </c>
      <c r="V29" s="50">
        <f t="shared" si="9"/>
        <v>20075553.157042634</v>
      </c>
      <c r="W29" s="50">
        <f t="shared" si="9"/>
        <v>20075553.157042634</v>
      </c>
      <c r="X29" s="50">
        <f t="shared" si="9"/>
        <v>20075553.157042634</v>
      </c>
      <c r="Y29" s="50">
        <f t="shared" si="9"/>
        <v>20075553.157042634</v>
      </c>
      <c r="Z29" s="50">
        <f t="shared" si="9"/>
        <v>20075553.157042634</v>
      </c>
      <c r="AA29" s="50">
        <f t="shared" si="9"/>
        <v>20075553.157042634</v>
      </c>
      <c r="AB29" s="50">
        <f t="shared" si="9"/>
        <v>20075553.157042634</v>
      </c>
      <c r="AC29" s="50">
        <f t="shared" si="9"/>
        <v>20075553.157042634</v>
      </c>
      <c r="AD29" s="50">
        <f t="shared" si="9"/>
        <v>20075553.157042634</v>
      </c>
      <c r="AE29" s="50">
        <f t="shared" si="9"/>
        <v>20075553.157042634</v>
      </c>
      <c r="AF29" s="50">
        <f t="shared" si="9"/>
        <v>20075553.157042634</v>
      </c>
      <c r="AG29" s="50">
        <f t="shared" si="9"/>
        <v>20075553.157042634</v>
      </c>
      <c r="AH29" s="50">
        <f t="shared" si="9"/>
        <v>20075553.157042634</v>
      </c>
      <c r="AI29" s="50">
        <f t="shared" si="9"/>
        <v>20075553.157042634</v>
      </c>
      <c r="AJ29" s="50">
        <f t="shared" si="9"/>
        <v>20075553.157042634</v>
      </c>
      <c r="AK29" s="50">
        <f t="shared" si="9"/>
        <v>20075553.157042634</v>
      </c>
      <c r="AL29" s="50">
        <f t="shared" si="9"/>
        <v>20075553.157042634</v>
      </c>
      <c r="AM29" s="50">
        <f t="shared" si="9"/>
        <v>20075553.157042634</v>
      </c>
      <c r="AN29" s="50">
        <f t="shared" si="10"/>
        <v>20075553.157042634</v>
      </c>
      <c r="AO29" s="50">
        <f t="shared" si="10"/>
        <v>20075553.157042634</v>
      </c>
      <c r="AP29" s="50">
        <f t="shared" si="10"/>
        <v>20075553.157042634</v>
      </c>
      <c r="AQ29" s="50">
        <f t="shared" si="10"/>
        <v>20075553.157042634</v>
      </c>
      <c r="AR29" s="50">
        <f t="shared" si="10"/>
        <v>20075553.157042634</v>
      </c>
      <c r="AS29" s="83">
        <f t="shared" ref="AS29:AS67" si="11">SUM(E29:AR29)</f>
        <v>772908796.54614115</v>
      </c>
      <c r="AT29" s="141"/>
      <c r="AU29" s="141"/>
      <c r="AV29" s="626">
        <f>+AV23</f>
        <v>1908147094.7619288</v>
      </c>
      <c r="AW29" s="627" t="s">
        <v>270</v>
      </c>
      <c r="AX29" s="411"/>
      <c r="AY29" s="497" t="s">
        <v>199</v>
      </c>
      <c r="AZ29" s="110">
        <f>SUM(AZ23:AZ28)</f>
        <v>23745277.927684836</v>
      </c>
      <c r="BA29" s="359">
        <f t="shared" ref="BA29:BJ29" si="12">SUM(BA23:BA28)</f>
        <v>7015650.2968159737</v>
      </c>
      <c r="BB29" s="359">
        <f t="shared" si="12"/>
        <v>5504587.1559633026</v>
      </c>
      <c r="BC29" s="359">
        <f t="shared" si="12"/>
        <v>3054373.4484619536</v>
      </c>
      <c r="BD29" s="359">
        <f t="shared" si="12"/>
        <v>22562779.276848353</v>
      </c>
      <c r="BE29" s="359">
        <f t="shared" si="12"/>
        <v>41587717.792228818</v>
      </c>
      <c r="BF29" s="359">
        <f t="shared" si="12"/>
        <v>46118291.607123584</v>
      </c>
      <c r="BG29" s="359">
        <f t="shared" si="12"/>
        <v>78479556.799784124</v>
      </c>
      <c r="BH29" s="359">
        <f t="shared" si="12"/>
        <v>98799287.562871024</v>
      </c>
      <c r="BI29" s="359">
        <f t="shared" si="12"/>
        <v>171345538.63572586</v>
      </c>
      <c r="BJ29" s="359">
        <f t="shared" si="12"/>
        <v>207923782</v>
      </c>
      <c r="BK29" s="359">
        <f>SUM(BK23:BK28)</f>
        <v>377416643</v>
      </c>
      <c r="BL29" s="504">
        <f>SUM(AZ29:BK29)</f>
        <v>1083553485.5035079</v>
      </c>
    </row>
    <row r="30" spans="1:64" ht="12.75" x14ac:dyDescent="0.2">
      <c r="A30" s="622">
        <v>1986</v>
      </c>
      <c r="B30" s="642"/>
      <c r="C30" s="642"/>
      <c r="D30" s="642"/>
      <c r="E30" s="50"/>
      <c r="F30" s="50"/>
      <c r="G30" s="50">
        <f>+G18/2</f>
        <v>3507825.1484079869</v>
      </c>
      <c r="H30" s="50">
        <f>+G18</f>
        <v>7015650.2968159737</v>
      </c>
      <c r="I30" s="50">
        <f t="shared" si="9"/>
        <v>7015650.2968159737</v>
      </c>
      <c r="J30" s="50">
        <f t="shared" si="9"/>
        <v>7015650.2968159737</v>
      </c>
      <c r="K30" s="50">
        <f t="shared" si="9"/>
        <v>7015650.2968159737</v>
      </c>
      <c r="L30" s="50">
        <f t="shared" si="9"/>
        <v>7015650.2968159737</v>
      </c>
      <c r="M30" s="50">
        <f t="shared" si="9"/>
        <v>7015650.2968159737</v>
      </c>
      <c r="N30" s="50">
        <f t="shared" si="9"/>
        <v>7015650.2968159737</v>
      </c>
      <c r="O30" s="50">
        <f t="shared" si="9"/>
        <v>7015650.2968159737</v>
      </c>
      <c r="P30" s="50">
        <f t="shared" si="9"/>
        <v>7015650.2968159737</v>
      </c>
      <c r="Q30" s="50">
        <f t="shared" si="9"/>
        <v>7015650.2968159737</v>
      </c>
      <c r="R30" s="50">
        <f t="shared" si="9"/>
        <v>7015650.2968159737</v>
      </c>
      <c r="S30" s="50">
        <f t="shared" si="9"/>
        <v>7015650.2968159737</v>
      </c>
      <c r="T30" s="50">
        <f t="shared" si="9"/>
        <v>7015650.2968159737</v>
      </c>
      <c r="U30" s="50">
        <f t="shared" si="9"/>
        <v>7015650.2968159737</v>
      </c>
      <c r="V30" s="50">
        <f t="shared" si="9"/>
        <v>7015650.2968159737</v>
      </c>
      <c r="W30" s="50">
        <f t="shared" si="9"/>
        <v>7015650.2968159737</v>
      </c>
      <c r="X30" s="50">
        <f t="shared" si="9"/>
        <v>7015650.2968159737</v>
      </c>
      <c r="Y30" s="50">
        <f t="shared" si="9"/>
        <v>7015650.2968159737</v>
      </c>
      <c r="Z30" s="50">
        <f t="shared" si="9"/>
        <v>7015650.2968159737</v>
      </c>
      <c r="AA30" s="50">
        <f t="shared" si="9"/>
        <v>7015650.2968159737</v>
      </c>
      <c r="AB30" s="50">
        <f t="shared" si="9"/>
        <v>7015650.2968159737</v>
      </c>
      <c r="AC30" s="50">
        <f t="shared" si="9"/>
        <v>7015650.2968159737</v>
      </c>
      <c r="AD30" s="50">
        <f t="shared" si="9"/>
        <v>7015650.2968159737</v>
      </c>
      <c r="AE30" s="50">
        <f t="shared" si="9"/>
        <v>7015650.2968159737</v>
      </c>
      <c r="AF30" s="50">
        <f t="shared" si="9"/>
        <v>7015650.2968159737</v>
      </c>
      <c r="AG30" s="50">
        <f t="shared" si="9"/>
        <v>7015650.2968159737</v>
      </c>
      <c r="AH30" s="50">
        <f t="shared" si="9"/>
        <v>7015650.2968159737</v>
      </c>
      <c r="AI30" s="50">
        <f t="shared" si="9"/>
        <v>7015650.2968159737</v>
      </c>
      <c r="AJ30" s="50">
        <f t="shared" si="9"/>
        <v>7015650.2968159737</v>
      </c>
      <c r="AK30" s="50">
        <f t="shared" si="9"/>
        <v>7015650.2968159737</v>
      </c>
      <c r="AL30" s="50">
        <f t="shared" si="9"/>
        <v>7015650.2968159737</v>
      </c>
      <c r="AM30" s="50">
        <f t="shared" si="9"/>
        <v>7015650.2968159737</v>
      </c>
      <c r="AN30" s="50">
        <f t="shared" si="10"/>
        <v>7015650.2968159737</v>
      </c>
      <c r="AO30" s="50">
        <f t="shared" si="10"/>
        <v>7015650.2968159737</v>
      </c>
      <c r="AP30" s="50">
        <f t="shared" si="10"/>
        <v>7015650.2968159737</v>
      </c>
      <c r="AQ30" s="50">
        <f t="shared" si="10"/>
        <v>7015650.2968159737</v>
      </c>
      <c r="AR30" s="50">
        <f t="shared" si="10"/>
        <v>7015650.2968159737</v>
      </c>
      <c r="AS30" s="83">
        <f t="shared" si="11"/>
        <v>263086886.13059881</v>
      </c>
      <c r="AT30" s="141"/>
      <c r="AU30" s="141"/>
      <c r="AV30" s="626">
        <f>SUM(AV28:AV29)</f>
        <v>4158423928.5210466</v>
      </c>
      <c r="AW30" s="627" t="s">
        <v>381</v>
      </c>
      <c r="AX30" s="411"/>
      <c r="AY30" s="629"/>
      <c r="AZ30" s="813"/>
      <c r="BA30" s="339"/>
      <c r="BB30" s="339"/>
      <c r="BC30" s="339"/>
      <c r="BD30" s="339"/>
      <c r="BE30" s="119"/>
      <c r="BF30" s="119"/>
      <c r="BG30" s="119"/>
      <c r="BH30" s="119"/>
      <c r="BI30" s="119"/>
      <c r="BJ30" s="119"/>
      <c r="BK30" s="119"/>
      <c r="BL30" s="504">
        <f>SUM(AZ29:BK29)</f>
        <v>1083553485.5035079</v>
      </c>
    </row>
    <row r="31" spans="1:64" ht="13.5" thickBot="1" x14ac:dyDescent="0.25">
      <c r="A31" s="622">
        <v>1987</v>
      </c>
      <c r="B31" s="642"/>
      <c r="C31" s="642"/>
      <c r="D31" s="642"/>
      <c r="E31" s="50"/>
      <c r="F31" s="50"/>
      <c r="G31" s="50"/>
      <c r="H31" s="50">
        <f>+H18/2</f>
        <v>2752293.5779816513</v>
      </c>
      <c r="I31" s="50">
        <f>+H18</f>
        <v>5504587.1559633026</v>
      </c>
      <c r="J31" s="50">
        <f t="shared" si="9"/>
        <v>5504587.1559633026</v>
      </c>
      <c r="K31" s="50">
        <f t="shared" si="9"/>
        <v>5504587.1559633026</v>
      </c>
      <c r="L31" s="50">
        <f t="shared" si="9"/>
        <v>5504587.1559633026</v>
      </c>
      <c r="M31" s="50">
        <f t="shared" si="9"/>
        <v>5504587.1559633026</v>
      </c>
      <c r="N31" s="50">
        <f t="shared" si="9"/>
        <v>5504587.1559633026</v>
      </c>
      <c r="O31" s="50">
        <f t="shared" si="9"/>
        <v>5504587.1559633026</v>
      </c>
      <c r="P31" s="50">
        <f t="shared" si="9"/>
        <v>5504587.1559633026</v>
      </c>
      <c r="Q31" s="50">
        <f t="shared" si="9"/>
        <v>5504587.1559633026</v>
      </c>
      <c r="R31" s="50">
        <f t="shared" si="9"/>
        <v>5504587.1559633026</v>
      </c>
      <c r="S31" s="50">
        <f t="shared" si="9"/>
        <v>5504587.1559633026</v>
      </c>
      <c r="T31" s="50">
        <f t="shared" si="9"/>
        <v>5504587.1559633026</v>
      </c>
      <c r="U31" s="50">
        <f t="shared" si="9"/>
        <v>5504587.1559633026</v>
      </c>
      <c r="V31" s="50">
        <f t="shared" si="9"/>
        <v>5504587.1559633026</v>
      </c>
      <c r="W31" s="50">
        <f t="shared" si="9"/>
        <v>5504587.1559633026</v>
      </c>
      <c r="X31" s="50">
        <f t="shared" si="9"/>
        <v>5504587.1559633026</v>
      </c>
      <c r="Y31" s="50">
        <f t="shared" si="9"/>
        <v>5504587.1559633026</v>
      </c>
      <c r="Z31" s="50">
        <f t="shared" si="9"/>
        <v>5504587.1559633026</v>
      </c>
      <c r="AA31" s="50">
        <f t="shared" si="9"/>
        <v>5504587.1559633026</v>
      </c>
      <c r="AB31" s="50">
        <f t="shared" si="9"/>
        <v>5504587.1559633026</v>
      </c>
      <c r="AC31" s="50">
        <f t="shared" si="9"/>
        <v>5504587.1559633026</v>
      </c>
      <c r="AD31" s="50">
        <f t="shared" si="9"/>
        <v>5504587.1559633026</v>
      </c>
      <c r="AE31" s="50">
        <f t="shared" si="9"/>
        <v>5504587.1559633026</v>
      </c>
      <c r="AF31" s="50">
        <f t="shared" si="9"/>
        <v>5504587.1559633026</v>
      </c>
      <c r="AG31" s="50">
        <f t="shared" si="9"/>
        <v>5504587.1559633026</v>
      </c>
      <c r="AH31" s="50">
        <f t="shared" si="9"/>
        <v>5504587.1559633026</v>
      </c>
      <c r="AI31" s="50">
        <f t="shared" si="9"/>
        <v>5504587.1559633026</v>
      </c>
      <c r="AJ31" s="50">
        <f t="shared" si="9"/>
        <v>5504587.1559633026</v>
      </c>
      <c r="AK31" s="50">
        <f t="shared" si="9"/>
        <v>5504587.1559633026</v>
      </c>
      <c r="AL31" s="50">
        <f t="shared" si="9"/>
        <v>5504587.1559633026</v>
      </c>
      <c r="AM31" s="50">
        <f t="shared" si="9"/>
        <v>5504587.1559633026</v>
      </c>
      <c r="AN31" s="50">
        <f t="shared" si="10"/>
        <v>5504587.1559633026</v>
      </c>
      <c r="AO31" s="50">
        <f t="shared" si="10"/>
        <v>5504587.1559633026</v>
      </c>
      <c r="AP31" s="50">
        <f t="shared" si="10"/>
        <v>5504587.1559633026</v>
      </c>
      <c r="AQ31" s="50">
        <f t="shared" si="10"/>
        <v>5504587.1559633026</v>
      </c>
      <c r="AR31" s="50">
        <f t="shared" si="10"/>
        <v>5504587.1559633026</v>
      </c>
      <c r="AS31" s="83">
        <f t="shared" si="11"/>
        <v>200917431.19266054</v>
      </c>
      <c r="AT31" s="141"/>
      <c r="AU31" s="141"/>
      <c r="AV31" s="630">
        <f>+AV30/1000</f>
        <v>4158423.9285210464</v>
      </c>
      <c r="AW31" s="631" t="s">
        <v>382</v>
      </c>
      <c r="AY31" s="815"/>
      <c r="AZ31" s="816"/>
      <c r="BA31" s="816"/>
      <c r="BB31" s="816"/>
      <c r="BC31" s="816"/>
      <c r="BD31" s="816"/>
      <c r="BE31" s="816"/>
      <c r="BF31" s="817"/>
      <c r="BG31" s="817"/>
      <c r="BH31" s="817"/>
      <c r="BI31" s="817"/>
      <c r="BJ31" s="817"/>
      <c r="BK31" s="817"/>
      <c r="BL31" s="818"/>
    </row>
    <row r="32" spans="1:64" ht="13.5" thickTop="1" x14ac:dyDescent="0.2">
      <c r="A32" s="622">
        <v>1988</v>
      </c>
      <c r="B32" s="642"/>
      <c r="C32" s="642"/>
      <c r="D32" s="642"/>
      <c r="E32" s="50"/>
      <c r="F32" s="50"/>
      <c r="G32" s="50"/>
      <c r="H32" s="50"/>
      <c r="I32" s="50">
        <f>+I18/2</f>
        <v>1511063.1408526713</v>
      </c>
      <c r="J32" s="50">
        <f>+I18</f>
        <v>3022126.2817053427</v>
      </c>
      <c r="K32" s="50">
        <f t="shared" si="9"/>
        <v>3022126.2817053427</v>
      </c>
      <c r="L32" s="50">
        <f t="shared" si="9"/>
        <v>3022126.2817053427</v>
      </c>
      <c r="M32" s="50">
        <f t="shared" si="9"/>
        <v>3022126.2817053427</v>
      </c>
      <c r="N32" s="50">
        <f t="shared" si="9"/>
        <v>3022126.2817053427</v>
      </c>
      <c r="O32" s="50">
        <f t="shared" si="9"/>
        <v>3022126.2817053427</v>
      </c>
      <c r="P32" s="50">
        <f t="shared" si="9"/>
        <v>3022126.2817053427</v>
      </c>
      <c r="Q32" s="50">
        <f t="shared" si="9"/>
        <v>3022126.2817053427</v>
      </c>
      <c r="R32" s="50">
        <f t="shared" si="9"/>
        <v>3022126.2817053427</v>
      </c>
      <c r="S32" s="50">
        <f t="shared" si="9"/>
        <v>3022126.2817053427</v>
      </c>
      <c r="T32" s="50">
        <f t="shared" si="9"/>
        <v>3022126.2817053427</v>
      </c>
      <c r="U32" s="50">
        <f t="shared" si="9"/>
        <v>3022126.2817053427</v>
      </c>
      <c r="V32" s="50">
        <f t="shared" si="9"/>
        <v>3022126.2817053427</v>
      </c>
      <c r="W32" s="50">
        <f t="shared" si="9"/>
        <v>3022126.2817053427</v>
      </c>
      <c r="X32" s="50">
        <f t="shared" si="9"/>
        <v>3022126.2817053427</v>
      </c>
      <c r="Y32" s="50">
        <f t="shared" si="9"/>
        <v>3022126.2817053427</v>
      </c>
      <c r="Z32" s="50">
        <f t="shared" si="9"/>
        <v>3022126.2817053427</v>
      </c>
      <c r="AA32" s="50">
        <f t="shared" si="9"/>
        <v>3022126.2817053427</v>
      </c>
      <c r="AB32" s="50">
        <f t="shared" si="9"/>
        <v>3022126.2817053427</v>
      </c>
      <c r="AC32" s="50">
        <f t="shared" si="9"/>
        <v>3022126.2817053427</v>
      </c>
      <c r="AD32" s="50">
        <f t="shared" si="9"/>
        <v>3022126.2817053427</v>
      </c>
      <c r="AE32" s="50">
        <f t="shared" si="9"/>
        <v>3022126.2817053427</v>
      </c>
      <c r="AF32" s="50">
        <f t="shared" si="9"/>
        <v>3022126.2817053427</v>
      </c>
      <c r="AG32" s="50">
        <f t="shared" si="9"/>
        <v>3022126.2817053427</v>
      </c>
      <c r="AH32" s="50">
        <f t="shared" si="9"/>
        <v>3022126.2817053427</v>
      </c>
      <c r="AI32" s="50">
        <f t="shared" si="9"/>
        <v>3022126.2817053427</v>
      </c>
      <c r="AJ32" s="50">
        <f t="shared" si="9"/>
        <v>3022126.2817053427</v>
      </c>
      <c r="AK32" s="50">
        <f t="shared" si="9"/>
        <v>3022126.2817053427</v>
      </c>
      <c r="AL32" s="50">
        <f t="shared" si="9"/>
        <v>3022126.2817053427</v>
      </c>
      <c r="AM32" s="50">
        <f t="shared" si="9"/>
        <v>3022126.2817053427</v>
      </c>
      <c r="AN32" s="50">
        <f t="shared" si="10"/>
        <v>3022126.2817053427</v>
      </c>
      <c r="AO32" s="50">
        <f t="shared" si="10"/>
        <v>3022126.2817053427</v>
      </c>
      <c r="AP32" s="50">
        <f t="shared" si="10"/>
        <v>3022126.2817053427</v>
      </c>
      <c r="AQ32" s="50">
        <f t="shared" si="10"/>
        <v>3022126.2817053427</v>
      </c>
      <c r="AR32" s="50">
        <f t="shared" si="10"/>
        <v>3022126.2817053427</v>
      </c>
      <c r="AS32" s="83">
        <f t="shared" si="11"/>
        <v>107285483.00053975</v>
      </c>
      <c r="AT32" s="141"/>
      <c r="AU32" s="141"/>
      <c r="AV32" s="411"/>
      <c r="AW32" s="411"/>
      <c r="AX32" s="411"/>
      <c r="AY32" s="411"/>
      <c r="AZ32" s="411"/>
      <c r="BA32" s="411"/>
      <c r="BB32" s="411"/>
      <c r="BC32" s="411"/>
    </row>
    <row r="33" spans="1:55" ht="12.75" x14ac:dyDescent="0.2">
      <c r="A33" s="622">
        <v>1989</v>
      </c>
      <c r="B33" s="642"/>
      <c r="C33" s="642"/>
      <c r="D33" s="642"/>
      <c r="E33" s="50"/>
      <c r="F33" s="50"/>
      <c r="G33" s="50"/>
      <c r="H33" s="50"/>
      <c r="I33" s="50"/>
      <c r="J33" s="50">
        <f>+J18/2</f>
        <v>2158661.6297895303</v>
      </c>
      <c r="K33" s="50">
        <f>+J18</f>
        <v>4317323.2595790606</v>
      </c>
      <c r="L33" s="50">
        <f t="shared" si="9"/>
        <v>4317323.2595790606</v>
      </c>
      <c r="M33" s="50">
        <f t="shared" si="9"/>
        <v>4317323.2595790606</v>
      </c>
      <c r="N33" s="50">
        <f t="shared" si="9"/>
        <v>4317323.2595790606</v>
      </c>
      <c r="O33" s="50">
        <f t="shared" si="9"/>
        <v>4317323.2595790606</v>
      </c>
      <c r="P33" s="50">
        <f t="shared" si="9"/>
        <v>4317323.2595790606</v>
      </c>
      <c r="Q33" s="50">
        <f t="shared" si="9"/>
        <v>4317323.2595790606</v>
      </c>
      <c r="R33" s="50">
        <f t="shared" si="9"/>
        <v>4317323.2595790606</v>
      </c>
      <c r="S33" s="50">
        <f t="shared" si="9"/>
        <v>4317323.2595790606</v>
      </c>
      <c r="T33" s="50">
        <f t="shared" si="9"/>
        <v>4317323.2595790606</v>
      </c>
      <c r="U33" s="50">
        <f t="shared" si="9"/>
        <v>4317323.2595790606</v>
      </c>
      <c r="V33" s="50">
        <f t="shared" si="9"/>
        <v>4317323.2595790606</v>
      </c>
      <c r="W33" s="50">
        <f t="shared" si="9"/>
        <v>4317323.2595790606</v>
      </c>
      <c r="X33" s="50">
        <f t="shared" si="9"/>
        <v>4317323.2595790606</v>
      </c>
      <c r="Y33" s="50">
        <f t="shared" si="9"/>
        <v>4317323.2595790606</v>
      </c>
      <c r="Z33" s="50">
        <f t="shared" si="9"/>
        <v>4317323.2595790606</v>
      </c>
      <c r="AA33" s="50">
        <f t="shared" si="9"/>
        <v>4317323.2595790606</v>
      </c>
      <c r="AB33" s="50">
        <f t="shared" si="9"/>
        <v>4317323.2595790606</v>
      </c>
      <c r="AC33" s="50">
        <f t="shared" si="9"/>
        <v>4317323.2595790606</v>
      </c>
      <c r="AD33" s="50">
        <f t="shared" si="9"/>
        <v>4317323.2595790606</v>
      </c>
      <c r="AE33" s="50">
        <f t="shared" si="9"/>
        <v>4317323.2595790606</v>
      </c>
      <c r="AF33" s="50">
        <f t="shared" si="9"/>
        <v>4317323.2595790606</v>
      </c>
      <c r="AG33" s="50">
        <f t="shared" si="9"/>
        <v>4317323.2595790606</v>
      </c>
      <c r="AH33" s="50">
        <f t="shared" si="9"/>
        <v>4317323.2595790606</v>
      </c>
      <c r="AI33" s="50">
        <f t="shared" si="9"/>
        <v>4317323.2595790606</v>
      </c>
      <c r="AJ33" s="50">
        <f t="shared" si="9"/>
        <v>4317323.2595790606</v>
      </c>
      <c r="AK33" s="50">
        <f t="shared" si="9"/>
        <v>4317323.2595790606</v>
      </c>
      <c r="AL33" s="50">
        <f t="shared" si="9"/>
        <v>4317323.2595790606</v>
      </c>
      <c r="AM33" s="50">
        <f t="shared" si="9"/>
        <v>4317323.2595790606</v>
      </c>
      <c r="AN33" s="50">
        <f t="shared" si="10"/>
        <v>4317323.2595790606</v>
      </c>
      <c r="AO33" s="50">
        <f t="shared" si="10"/>
        <v>4317323.2595790606</v>
      </c>
      <c r="AP33" s="50">
        <f t="shared" si="10"/>
        <v>4317323.2595790606</v>
      </c>
      <c r="AQ33" s="50">
        <f t="shared" si="10"/>
        <v>4317323.2595790606</v>
      </c>
      <c r="AR33" s="50">
        <f t="shared" si="10"/>
        <v>4317323.2595790606</v>
      </c>
      <c r="AS33" s="83">
        <f t="shared" si="11"/>
        <v>148947652.45547763</v>
      </c>
      <c r="AT33" s="141"/>
      <c r="AU33" s="141"/>
      <c r="AV33" s="411"/>
      <c r="AW33" s="411"/>
      <c r="AX33" s="411"/>
      <c r="AY33" s="411"/>
      <c r="AZ33" s="411"/>
      <c r="BA33" s="411"/>
      <c r="BB33" s="411"/>
      <c r="BC33" s="411"/>
    </row>
    <row r="34" spans="1:55" ht="12.75" x14ac:dyDescent="0.2">
      <c r="A34" s="622">
        <v>1990</v>
      </c>
      <c r="B34" s="642"/>
      <c r="C34" s="642"/>
      <c r="D34" s="642"/>
      <c r="E34" s="50"/>
      <c r="F34" s="50"/>
      <c r="G34" s="50"/>
      <c r="H34" s="50"/>
      <c r="I34" s="50"/>
      <c r="J34" s="50"/>
      <c r="K34" s="50">
        <f>+K18/2</f>
        <v>6961683.756071236</v>
      </c>
      <c r="L34" s="50">
        <f>+K18</f>
        <v>13923367.512142472</v>
      </c>
      <c r="M34" s="50">
        <f t="shared" si="9"/>
        <v>13923367.512142472</v>
      </c>
      <c r="N34" s="50">
        <f t="shared" si="9"/>
        <v>13923367.512142472</v>
      </c>
      <c r="O34" s="50">
        <f t="shared" si="9"/>
        <v>13923367.512142472</v>
      </c>
      <c r="P34" s="50">
        <f t="shared" si="9"/>
        <v>13923367.512142472</v>
      </c>
      <c r="Q34" s="50">
        <f t="shared" si="9"/>
        <v>13923367.512142472</v>
      </c>
      <c r="R34" s="50">
        <f t="shared" si="9"/>
        <v>13923367.512142472</v>
      </c>
      <c r="S34" s="50">
        <f t="shared" si="9"/>
        <v>13923367.512142472</v>
      </c>
      <c r="T34" s="50">
        <f t="shared" si="9"/>
        <v>13923367.512142472</v>
      </c>
      <c r="U34" s="50">
        <f t="shared" si="9"/>
        <v>13923367.512142472</v>
      </c>
      <c r="V34" s="50">
        <f t="shared" si="9"/>
        <v>13923367.512142472</v>
      </c>
      <c r="W34" s="50">
        <f t="shared" si="9"/>
        <v>13923367.512142472</v>
      </c>
      <c r="X34" s="50">
        <f t="shared" si="9"/>
        <v>13923367.512142472</v>
      </c>
      <c r="Y34" s="50">
        <f t="shared" si="9"/>
        <v>13923367.512142472</v>
      </c>
      <c r="Z34" s="50">
        <f t="shared" si="9"/>
        <v>13923367.512142472</v>
      </c>
      <c r="AA34" s="50">
        <f t="shared" si="9"/>
        <v>13923367.512142472</v>
      </c>
      <c r="AB34" s="50">
        <f t="shared" si="9"/>
        <v>13923367.512142472</v>
      </c>
      <c r="AC34" s="50">
        <f t="shared" si="9"/>
        <v>13923367.512142472</v>
      </c>
      <c r="AD34" s="50">
        <f t="shared" si="9"/>
        <v>13923367.512142472</v>
      </c>
      <c r="AE34" s="50">
        <f t="shared" si="9"/>
        <v>13923367.512142472</v>
      </c>
      <c r="AF34" s="50">
        <f t="shared" si="9"/>
        <v>13923367.512142472</v>
      </c>
      <c r="AG34" s="50">
        <f t="shared" si="9"/>
        <v>13923367.512142472</v>
      </c>
      <c r="AH34" s="50">
        <f t="shared" si="9"/>
        <v>13923367.512142472</v>
      </c>
      <c r="AI34" s="50">
        <f t="shared" si="9"/>
        <v>13923367.512142472</v>
      </c>
      <c r="AJ34" s="50">
        <f t="shared" si="9"/>
        <v>13923367.512142472</v>
      </c>
      <c r="AK34" s="50">
        <f t="shared" si="9"/>
        <v>13923367.512142472</v>
      </c>
      <c r="AL34" s="50">
        <f t="shared" si="9"/>
        <v>13923367.512142472</v>
      </c>
      <c r="AM34" s="50">
        <f t="shared" si="9"/>
        <v>13923367.512142472</v>
      </c>
      <c r="AN34" s="50">
        <f t="shared" si="10"/>
        <v>13923367.512142472</v>
      </c>
      <c r="AO34" s="50">
        <f t="shared" si="10"/>
        <v>13923367.512142472</v>
      </c>
      <c r="AP34" s="50">
        <f t="shared" si="10"/>
        <v>13923367.512142472</v>
      </c>
      <c r="AQ34" s="50">
        <f t="shared" si="10"/>
        <v>13923367.512142472</v>
      </c>
      <c r="AR34" s="50">
        <f t="shared" si="10"/>
        <v>13923367.512142472</v>
      </c>
      <c r="AS34" s="83">
        <f t="shared" si="11"/>
        <v>466432811.65677303</v>
      </c>
      <c r="AT34" s="141"/>
      <c r="AU34" s="141"/>
      <c r="AV34" s="411"/>
      <c r="AW34" s="411"/>
      <c r="AX34" s="411"/>
      <c r="AY34" s="411"/>
      <c r="AZ34" s="411"/>
      <c r="BA34" s="411"/>
      <c r="BB34" s="411"/>
      <c r="BC34" s="411"/>
    </row>
    <row r="35" spans="1:55" ht="12.75" x14ac:dyDescent="0.2">
      <c r="A35" s="622">
        <v>1991</v>
      </c>
      <c r="B35" s="642"/>
      <c r="C35" s="642"/>
      <c r="D35" s="642"/>
      <c r="E35" s="50"/>
      <c r="F35" s="50"/>
      <c r="G35" s="50"/>
      <c r="H35" s="50"/>
      <c r="I35" s="50"/>
      <c r="J35" s="50"/>
      <c r="K35" s="50"/>
      <c r="L35" s="50">
        <f>+L18/2</f>
        <v>12422859.686994063</v>
      </c>
      <c r="M35" s="50">
        <f>+L18</f>
        <v>24845719.373988125</v>
      </c>
      <c r="N35" s="50">
        <f t="shared" si="9"/>
        <v>24845719.373988125</v>
      </c>
      <c r="O35" s="50">
        <f t="shared" si="9"/>
        <v>24845719.373988125</v>
      </c>
      <c r="P35" s="50">
        <f t="shared" si="9"/>
        <v>24845719.373988125</v>
      </c>
      <c r="Q35" s="50">
        <f t="shared" si="9"/>
        <v>24845719.373988125</v>
      </c>
      <c r="R35" s="50">
        <f t="shared" si="9"/>
        <v>24845719.373988125</v>
      </c>
      <c r="S35" s="50">
        <f t="shared" si="9"/>
        <v>24845719.373988125</v>
      </c>
      <c r="T35" s="50">
        <f t="shared" si="9"/>
        <v>24845719.373988125</v>
      </c>
      <c r="U35" s="50">
        <f t="shared" si="9"/>
        <v>24845719.373988125</v>
      </c>
      <c r="V35" s="50">
        <f t="shared" si="9"/>
        <v>24845719.373988125</v>
      </c>
      <c r="W35" s="50">
        <f t="shared" si="9"/>
        <v>24845719.373988125</v>
      </c>
      <c r="X35" s="50">
        <f t="shared" si="9"/>
        <v>24845719.373988125</v>
      </c>
      <c r="Y35" s="50">
        <f t="shared" si="9"/>
        <v>24845719.373988125</v>
      </c>
      <c r="Z35" s="50">
        <f t="shared" si="9"/>
        <v>24845719.373988125</v>
      </c>
      <c r="AA35" s="50">
        <f t="shared" si="9"/>
        <v>24845719.373988125</v>
      </c>
      <c r="AB35" s="50">
        <f t="shared" si="9"/>
        <v>24845719.373988125</v>
      </c>
      <c r="AC35" s="50">
        <f t="shared" si="9"/>
        <v>24845719.373988125</v>
      </c>
      <c r="AD35" s="50">
        <f t="shared" si="9"/>
        <v>24845719.373988125</v>
      </c>
      <c r="AE35" s="50">
        <f t="shared" si="9"/>
        <v>24845719.373988125</v>
      </c>
      <c r="AF35" s="50">
        <f t="shared" si="9"/>
        <v>24845719.373988125</v>
      </c>
      <c r="AG35" s="50">
        <f t="shared" si="9"/>
        <v>24845719.373988125</v>
      </c>
      <c r="AH35" s="50">
        <f t="shared" si="9"/>
        <v>24845719.373988125</v>
      </c>
      <c r="AI35" s="50">
        <f t="shared" si="9"/>
        <v>24845719.373988125</v>
      </c>
      <c r="AJ35" s="50">
        <f t="shared" si="9"/>
        <v>24845719.373988125</v>
      </c>
      <c r="AK35" s="50">
        <f t="shared" si="9"/>
        <v>24845719.373988125</v>
      </c>
      <c r="AL35" s="50">
        <f t="shared" si="9"/>
        <v>24845719.373988125</v>
      </c>
      <c r="AM35" s="50">
        <f t="shared" si="9"/>
        <v>24845719.373988125</v>
      </c>
      <c r="AN35" s="50">
        <f t="shared" si="10"/>
        <v>24845719.373988125</v>
      </c>
      <c r="AO35" s="50">
        <f t="shared" si="10"/>
        <v>24845719.373988125</v>
      </c>
      <c r="AP35" s="50">
        <f t="shared" si="10"/>
        <v>24845719.373988125</v>
      </c>
      <c r="AQ35" s="50">
        <f t="shared" si="10"/>
        <v>24845719.373988125</v>
      </c>
      <c r="AR35" s="50">
        <f t="shared" si="10"/>
        <v>24845719.373988125</v>
      </c>
      <c r="AS35" s="83">
        <f t="shared" si="11"/>
        <v>807485879.65461457</v>
      </c>
      <c r="AT35" s="141"/>
      <c r="AU35" s="141"/>
      <c r="AV35" s="411"/>
      <c r="AW35" s="411"/>
      <c r="AX35" s="411"/>
      <c r="AY35" s="411"/>
      <c r="AZ35" s="411"/>
      <c r="BA35" s="411"/>
      <c r="BB35" s="411"/>
      <c r="BC35" s="411"/>
    </row>
    <row r="36" spans="1:55" ht="12.75" x14ac:dyDescent="0.2">
      <c r="A36" s="622">
        <v>1992</v>
      </c>
      <c r="B36" s="642"/>
      <c r="C36" s="642"/>
      <c r="D36" s="642"/>
      <c r="E36" s="50"/>
      <c r="F36" s="50"/>
      <c r="G36" s="50"/>
      <c r="H36" s="50"/>
      <c r="I36" s="50"/>
      <c r="J36" s="50"/>
      <c r="K36" s="50"/>
      <c r="L36" s="50"/>
      <c r="M36" s="50">
        <f>+M18/2</f>
        <v>17771056.664867781</v>
      </c>
      <c r="N36" s="50">
        <f>+M18</f>
        <v>35542113.329735562</v>
      </c>
      <c r="O36" s="50">
        <f t="shared" si="9"/>
        <v>35542113.329735562</v>
      </c>
      <c r="P36" s="50">
        <f t="shared" si="9"/>
        <v>35542113.329735562</v>
      </c>
      <c r="Q36" s="50">
        <f t="shared" si="9"/>
        <v>35542113.329735562</v>
      </c>
      <c r="R36" s="50">
        <f t="shared" si="9"/>
        <v>35542113.329735562</v>
      </c>
      <c r="S36" s="50">
        <f t="shared" si="9"/>
        <v>35542113.329735562</v>
      </c>
      <c r="T36" s="50">
        <f t="shared" si="9"/>
        <v>35542113.329735562</v>
      </c>
      <c r="U36" s="50">
        <f t="shared" si="9"/>
        <v>35542113.329735562</v>
      </c>
      <c r="V36" s="50">
        <f t="shared" si="9"/>
        <v>35542113.329735562</v>
      </c>
      <c r="W36" s="50">
        <f t="shared" si="9"/>
        <v>35542113.329735562</v>
      </c>
      <c r="X36" s="50">
        <f t="shared" si="9"/>
        <v>35542113.329735562</v>
      </c>
      <c r="Y36" s="50">
        <f t="shared" si="9"/>
        <v>35542113.329735562</v>
      </c>
      <c r="Z36" s="50">
        <f t="shared" si="9"/>
        <v>35542113.329735562</v>
      </c>
      <c r="AA36" s="50">
        <f t="shared" si="9"/>
        <v>35542113.329735562</v>
      </c>
      <c r="AB36" s="50">
        <f t="shared" si="9"/>
        <v>35542113.329735562</v>
      </c>
      <c r="AC36" s="50">
        <f t="shared" si="9"/>
        <v>35542113.329735562</v>
      </c>
      <c r="AD36" s="50">
        <f t="shared" si="9"/>
        <v>35542113.329735562</v>
      </c>
      <c r="AE36" s="50">
        <f t="shared" si="9"/>
        <v>35542113.329735562</v>
      </c>
      <c r="AF36" s="50">
        <f t="shared" si="9"/>
        <v>35542113.329735562</v>
      </c>
      <c r="AG36" s="50">
        <f t="shared" si="9"/>
        <v>35542113.329735562</v>
      </c>
      <c r="AH36" s="50">
        <f t="shared" ref="AH36:AM36" si="13">+AG36</f>
        <v>35542113.329735562</v>
      </c>
      <c r="AI36" s="50">
        <f t="shared" si="13"/>
        <v>35542113.329735562</v>
      </c>
      <c r="AJ36" s="50">
        <f t="shared" si="13"/>
        <v>35542113.329735562</v>
      </c>
      <c r="AK36" s="50">
        <f t="shared" si="13"/>
        <v>35542113.329735562</v>
      </c>
      <c r="AL36" s="50">
        <f t="shared" si="13"/>
        <v>35542113.329735562</v>
      </c>
      <c r="AM36" s="50">
        <f t="shared" si="13"/>
        <v>35542113.329735562</v>
      </c>
      <c r="AN36" s="50">
        <f t="shared" si="10"/>
        <v>35542113.329735562</v>
      </c>
      <c r="AO36" s="50">
        <f t="shared" si="10"/>
        <v>35542113.329735562</v>
      </c>
      <c r="AP36" s="50">
        <f t="shared" si="10"/>
        <v>35542113.329735562</v>
      </c>
      <c r="AQ36" s="50">
        <f t="shared" si="10"/>
        <v>35542113.329735562</v>
      </c>
      <c r="AR36" s="50">
        <f t="shared" si="10"/>
        <v>35542113.329735562</v>
      </c>
      <c r="AS36" s="83">
        <f t="shared" si="11"/>
        <v>1119576569.8866696</v>
      </c>
      <c r="AT36" s="141"/>
      <c r="AU36" s="141"/>
      <c r="AV36" s="411"/>
      <c r="AW36" s="411"/>
      <c r="AX36" s="411"/>
    </row>
    <row r="37" spans="1:55" ht="12.75" x14ac:dyDescent="0.2">
      <c r="A37" s="622">
        <v>1993</v>
      </c>
      <c r="B37" s="642"/>
      <c r="C37" s="642"/>
      <c r="D37" s="642"/>
      <c r="E37" s="50"/>
      <c r="F37" s="50"/>
      <c r="G37" s="50"/>
      <c r="H37" s="50"/>
      <c r="I37" s="50"/>
      <c r="J37" s="50"/>
      <c r="K37" s="50"/>
      <c r="L37" s="50"/>
      <c r="M37" s="50"/>
      <c r="N37" s="50">
        <f>+N18/2</f>
        <v>41279010.793308154</v>
      </c>
      <c r="O37" s="50">
        <f>+N18</f>
        <v>82558021.586616307</v>
      </c>
      <c r="P37" s="50">
        <f t="shared" ref="P37:AE41" si="14">+O37</f>
        <v>82558021.586616307</v>
      </c>
      <c r="Q37" s="50">
        <f t="shared" si="14"/>
        <v>82558021.586616307</v>
      </c>
      <c r="R37" s="50">
        <f t="shared" si="14"/>
        <v>82558021.586616307</v>
      </c>
      <c r="S37" s="50">
        <f t="shared" si="14"/>
        <v>82558021.586616307</v>
      </c>
      <c r="T37" s="50">
        <f t="shared" si="14"/>
        <v>82558021.586616307</v>
      </c>
      <c r="U37" s="50">
        <f t="shared" si="14"/>
        <v>82558021.586616307</v>
      </c>
      <c r="V37" s="50">
        <f t="shared" si="14"/>
        <v>82558021.586616307</v>
      </c>
      <c r="W37" s="50">
        <f t="shared" si="14"/>
        <v>82558021.586616307</v>
      </c>
      <c r="X37" s="50">
        <f t="shared" si="14"/>
        <v>82558021.586616307</v>
      </c>
      <c r="Y37" s="50">
        <f t="shared" si="14"/>
        <v>82558021.586616307</v>
      </c>
      <c r="Z37" s="50">
        <f t="shared" si="14"/>
        <v>82558021.586616307</v>
      </c>
      <c r="AA37" s="50">
        <f t="shared" si="14"/>
        <v>82558021.586616307</v>
      </c>
      <c r="AB37" s="50">
        <f t="shared" si="14"/>
        <v>82558021.586616307</v>
      </c>
      <c r="AC37" s="50">
        <f t="shared" si="14"/>
        <v>82558021.586616307</v>
      </c>
      <c r="AD37" s="50">
        <f t="shared" si="14"/>
        <v>82558021.586616307</v>
      </c>
      <c r="AE37" s="50">
        <f t="shared" si="14"/>
        <v>82558021.586616307</v>
      </c>
      <c r="AF37" s="50">
        <f t="shared" ref="Z37:AM52" si="15">+AE37</f>
        <v>82558021.586616307</v>
      </c>
      <c r="AG37" s="50">
        <f t="shared" si="15"/>
        <v>82558021.586616307</v>
      </c>
      <c r="AH37" s="50">
        <f t="shared" si="15"/>
        <v>82558021.586616307</v>
      </c>
      <c r="AI37" s="50">
        <f t="shared" si="15"/>
        <v>82558021.586616307</v>
      </c>
      <c r="AJ37" s="50">
        <f t="shared" si="15"/>
        <v>82558021.586616307</v>
      </c>
      <c r="AK37" s="50">
        <f t="shared" si="15"/>
        <v>82558021.586616307</v>
      </c>
      <c r="AL37" s="50">
        <f t="shared" si="15"/>
        <v>82558021.586616307</v>
      </c>
      <c r="AM37" s="50">
        <f t="shared" si="15"/>
        <v>82558021.586616307</v>
      </c>
      <c r="AN37" s="50">
        <f t="shared" si="10"/>
        <v>82558021.586616307</v>
      </c>
      <c r="AO37" s="50">
        <f t="shared" si="10"/>
        <v>82558021.586616307</v>
      </c>
      <c r="AP37" s="50">
        <f t="shared" si="10"/>
        <v>82558021.586616307</v>
      </c>
      <c r="AQ37" s="50">
        <f t="shared" si="10"/>
        <v>82558021.586616307</v>
      </c>
      <c r="AR37" s="50">
        <f t="shared" si="10"/>
        <v>82558021.586616307</v>
      </c>
      <c r="AS37" s="83">
        <f t="shared" si="11"/>
        <v>2518019658.3917975</v>
      </c>
      <c r="AT37" s="141"/>
      <c r="AU37" s="141"/>
      <c r="AV37" s="411"/>
      <c r="AW37" s="411"/>
      <c r="AX37" s="411"/>
    </row>
    <row r="38" spans="1:55" ht="12.75" x14ac:dyDescent="0.2">
      <c r="A38" s="622">
        <v>1994</v>
      </c>
      <c r="B38" s="642"/>
      <c r="C38" s="642"/>
      <c r="D38" s="642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>
        <f>+O18/2</f>
        <v>77443726.389638424</v>
      </c>
      <c r="P38" s="50">
        <f>+O18</f>
        <v>154887452.77927685</v>
      </c>
      <c r="Q38" s="50">
        <f t="shared" si="14"/>
        <v>154887452.77927685</v>
      </c>
      <c r="R38" s="50">
        <f t="shared" si="14"/>
        <v>154887452.77927685</v>
      </c>
      <c r="S38" s="50">
        <f t="shared" si="14"/>
        <v>154887452.77927685</v>
      </c>
      <c r="T38" s="50">
        <f t="shared" si="14"/>
        <v>154887452.77927685</v>
      </c>
      <c r="U38" s="50">
        <f t="shared" si="14"/>
        <v>154887452.77927685</v>
      </c>
      <c r="V38" s="50">
        <f t="shared" si="14"/>
        <v>154887452.77927685</v>
      </c>
      <c r="W38" s="50">
        <f t="shared" si="14"/>
        <v>154887452.77927685</v>
      </c>
      <c r="X38" s="50">
        <f t="shared" si="14"/>
        <v>154887452.77927685</v>
      </c>
      <c r="Y38" s="50">
        <f t="shared" si="14"/>
        <v>154887452.77927685</v>
      </c>
      <c r="Z38" s="50">
        <f t="shared" si="14"/>
        <v>154887452.77927685</v>
      </c>
      <c r="AA38" s="50">
        <f t="shared" si="14"/>
        <v>154887452.77927685</v>
      </c>
      <c r="AB38" s="50">
        <f t="shared" si="14"/>
        <v>154887452.77927685</v>
      </c>
      <c r="AC38" s="50">
        <f t="shared" si="14"/>
        <v>154887452.77927685</v>
      </c>
      <c r="AD38" s="50">
        <f t="shared" si="14"/>
        <v>154887452.77927685</v>
      </c>
      <c r="AE38" s="50">
        <f t="shared" si="14"/>
        <v>154887452.77927685</v>
      </c>
      <c r="AF38" s="50">
        <f t="shared" si="15"/>
        <v>154887452.77927685</v>
      </c>
      <c r="AG38" s="50">
        <f t="shared" si="15"/>
        <v>154887452.77927685</v>
      </c>
      <c r="AH38" s="50">
        <f t="shared" si="15"/>
        <v>154887452.77927685</v>
      </c>
      <c r="AI38" s="50">
        <f t="shared" si="15"/>
        <v>154887452.77927685</v>
      </c>
      <c r="AJ38" s="50">
        <f t="shared" si="15"/>
        <v>154887452.77927685</v>
      </c>
      <c r="AK38" s="50">
        <f t="shared" si="15"/>
        <v>154887452.77927685</v>
      </c>
      <c r="AL38" s="50">
        <f t="shared" si="15"/>
        <v>154887452.77927685</v>
      </c>
      <c r="AM38" s="50">
        <f t="shared" si="15"/>
        <v>154887452.77927685</v>
      </c>
      <c r="AN38" s="50">
        <f t="shared" si="10"/>
        <v>154887452.77927685</v>
      </c>
      <c r="AO38" s="50">
        <f t="shared" si="10"/>
        <v>154887452.77927685</v>
      </c>
      <c r="AP38" s="50">
        <f t="shared" si="10"/>
        <v>154887452.77927685</v>
      </c>
      <c r="AQ38" s="50">
        <f t="shared" si="10"/>
        <v>154887452.77927685</v>
      </c>
      <c r="AR38" s="50">
        <f t="shared" si="10"/>
        <v>154887452.77927685</v>
      </c>
      <c r="AS38" s="83">
        <f t="shared" si="11"/>
        <v>4569179856.9886675</v>
      </c>
      <c r="AT38" s="141"/>
      <c r="AU38" s="141"/>
      <c r="AV38" s="411"/>
      <c r="AW38" s="411"/>
      <c r="AX38" s="411"/>
    </row>
    <row r="39" spans="1:55" ht="12.75" x14ac:dyDescent="0.2">
      <c r="A39" s="622">
        <v>1995</v>
      </c>
      <c r="B39" s="642"/>
      <c r="C39" s="642"/>
      <c r="D39" s="642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>
        <f>+P18/2</f>
        <v>110253218</v>
      </c>
      <c r="Q39" s="50">
        <f>+P18</f>
        <v>220506436</v>
      </c>
      <c r="R39" s="50">
        <f t="shared" si="14"/>
        <v>220506436</v>
      </c>
      <c r="S39" s="50">
        <f t="shared" si="14"/>
        <v>220506436</v>
      </c>
      <c r="T39" s="50">
        <f t="shared" si="14"/>
        <v>220506436</v>
      </c>
      <c r="U39" s="50">
        <f t="shared" si="14"/>
        <v>220506436</v>
      </c>
      <c r="V39" s="50">
        <f t="shared" si="14"/>
        <v>220506436</v>
      </c>
      <c r="W39" s="50">
        <f t="shared" si="14"/>
        <v>220506436</v>
      </c>
      <c r="X39" s="50">
        <f t="shared" si="14"/>
        <v>220506436</v>
      </c>
      <c r="Y39" s="50">
        <f t="shared" si="14"/>
        <v>220506436</v>
      </c>
      <c r="Z39" s="50">
        <f t="shared" si="14"/>
        <v>220506436</v>
      </c>
      <c r="AA39" s="50">
        <f t="shared" si="14"/>
        <v>220506436</v>
      </c>
      <c r="AB39" s="50">
        <f t="shared" si="14"/>
        <v>220506436</v>
      </c>
      <c r="AC39" s="50">
        <f t="shared" si="14"/>
        <v>220506436</v>
      </c>
      <c r="AD39" s="50">
        <f t="shared" si="14"/>
        <v>220506436</v>
      </c>
      <c r="AE39" s="50">
        <f t="shared" si="14"/>
        <v>220506436</v>
      </c>
      <c r="AF39" s="50">
        <f t="shared" si="15"/>
        <v>220506436</v>
      </c>
      <c r="AG39" s="50">
        <f t="shared" si="15"/>
        <v>220506436</v>
      </c>
      <c r="AH39" s="50">
        <f t="shared" si="15"/>
        <v>220506436</v>
      </c>
      <c r="AI39" s="50">
        <f t="shared" si="15"/>
        <v>220506436</v>
      </c>
      <c r="AJ39" s="50">
        <f t="shared" si="15"/>
        <v>220506436</v>
      </c>
      <c r="AK39" s="50">
        <f t="shared" si="15"/>
        <v>220506436</v>
      </c>
      <c r="AL39" s="50">
        <f t="shared" si="15"/>
        <v>220506436</v>
      </c>
      <c r="AM39" s="50">
        <f t="shared" si="15"/>
        <v>220506436</v>
      </c>
      <c r="AN39" s="50">
        <f t="shared" si="10"/>
        <v>220506436</v>
      </c>
      <c r="AO39" s="50">
        <f t="shared" si="10"/>
        <v>220506436</v>
      </c>
      <c r="AP39" s="50">
        <f t="shared" si="10"/>
        <v>220506436</v>
      </c>
      <c r="AQ39" s="50">
        <f t="shared" si="10"/>
        <v>220506436</v>
      </c>
      <c r="AR39" s="50">
        <f t="shared" si="10"/>
        <v>220506436</v>
      </c>
      <c r="AS39" s="83">
        <f t="shared" si="11"/>
        <v>6284433426</v>
      </c>
      <c r="AT39" s="141"/>
      <c r="AU39" s="141"/>
      <c r="AV39" s="411"/>
      <c r="AW39" s="411"/>
      <c r="AX39" s="411"/>
    </row>
    <row r="40" spans="1:55" ht="12.75" x14ac:dyDescent="0.2">
      <c r="A40" s="622">
        <v>1996</v>
      </c>
      <c r="B40" s="642"/>
      <c r="C40" s="642"/>
      <c r="D40" s="642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>
        <f>+Q18/2</f>
        <v>181356766.5</v>
      </c>
      <c r="R40" s="50">
        <f>+Q18</f>
        <v>362713533</v>
      </c>
      <c r="S40" s="50">
        <f t="shared" si="14"/>
        <v>362713533</v>
      </c>
      <c r="T40" s="50">
        <f t="shared" si="14"/>
        <v>362713533</v>
      </c>
      <c r="U40" s="50">
        <f t="shared" si="14"/>
        <v>362713533</v>
      </c>
      <c r="V40" s="50">
        <f t="shared" si="14"/>
        <v>362713533</v>
      </c>
      <c r="W40" s="50">
        <f t="shared" si="14"/>
        <v>362713533</v>
      </c>
      <c r="X40" s="50">
        <f t="shared" si="14"/>
        <v>362713533</v>
      </c>
      <c r="Y40" s="50">
        <f t="shared" si="14"/>
        <v>362713533</v>
      </c>
      <c r="Z40" s="50">
        <f t="shared" si="14"/>
        <v>362713533</v>
      </c>
      <c r="AA40" s="50">
        <f t="shared" si="14"/>
        <v>362713533</v>
      </c>
      <c r="AB40" s="50">
        <f t="shared" si="14"/>
        <v>362713533</v>
      </c>
      <c r="AC40" s="50">
        <f t="shared" si="14"/>
        <v>362713533</v>
      </c>
      <c r="AD40" s="50">
        <f t="shared" si="14"/>
        <v>362713533</v>
      </c>
      <c r="AE40" s="50">
        <f t="shared" si="14"/>
        <v>362713533</v>
      </c>
      <c r="AF40" s="50">
        <f t="shared" si="15"/>
        <v>362713533</v>
      </c>
      <c r="AG40" s="50">
        <f t="shared" si="15"/>
        <v>362713533</v>
      </c>
      <c r="AH40" s="50">
        <f t="shared" si="15"/>
        <v>362713533</v>
      </c>
      <c r="AI40" s="50">
        <f t="shared" si="15"/>
        <v>362713533</v>
      </c>
      <c r="AJ40" s="50">
        <f t="shared" si="15"/>
        <v>362713533</v>
      </c>
      <c r="AK40" s="50">
        <f t="shared" si="15"/>
        <v>362713533</v>
      </c>
      <c r="AL40" s="50">
        <f t="shared" si="15"/>
        <v>362713533</v>
      </c>
      <c r="AM40" s="50">
        <f t="shared" si="15"/>
        <v>362713533</v>
      </c>
      <c r="AN40" s="50">
        <f t="shared" si="10"/>
        <v>362713533</v>
      </c>
      <c r="AO40" s="50">
        <f t="shared" si="10"/>
        <v>362713533</v>
      </c>
      <c r="AP40" s="50">
        <f t="shared" si="10"/>
        <v>362713533</v>
      </c>
      <c r="AQ40" s="50">
        <f t="shared" si="10"/>
        <v>362713533</v>
      </c>
      <c r="AR40" s="50">
        <f t="shared" si="10"/>
        <v>362713533</v>
      </c>
      <c r="AS40" s="83">
        <f t="shared" si="11"/>
        <v>9974622157.5</v>
      </c>
      <c r="AT40" s="141"/>
      <c r="AU40" s="141"/>
      <c r="AV40" s="411"/>
      <c r="AW40" s="411"/>
      <c r="AX40" s="411"/>
    </row>
    <row r="41" spans="1:55" ht="12.75" x14ac:dyDescent="0.2">
      <c r="A41" s="622">
        <v>1997</v>
      </c>
      <c r="B41" s="642"/>
      <c r="C41" s="642"/>
      <c r="D41" s="642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>
        <f>+R18/2</f>
        <v>67220618.5</v>
      </c>
      <c r="S41" s="50">
        <f>+R18</f>
        <v>134441237</v>
      </c>
      <c r="T41" s="50">
        <f t="shared" si="14"/>
        <v>134441237</v>
      </c>
      <c r="U41" s="50">
        <f t="shared" si="14"/>
        <v>134441237</v>
      </c>
      <c r="V41" s="50">
        <f t="shared" si="14"/>
        <v>134441237</v>
      </c>
      <c r="W41" s="50">
        <f t="shared" si="14"/>
        <v>134441237</v>
      </c>
      <c r="X41" s="50">
        <f t="shared" si="14"/>
        <v>134441237</v>
      </c>
      <c r="Y41" s="50">
        <f t="shared" si="14"/>
        <v>134441237</v>
      </c>
      <c r="Z41" s="50">
        <f t="shared" si="14"/>
        <v>134441237</v>
      </c>
      <c r="AA41" s="50">
        <f t="shared" si="14"/>
        <v>134441237</v>
      </c>
      <c r="AB41" s="50">
        <f t="shared" si="14"/>
        <v>134441237</v>
      </c>
      <c r="AC41" s="50">
        <f t="shared" si="14"/>
        <v>134441237</v>
      </c>
      <c r="AD41" s="50">
        <f t="shared" si="14"/>
        <v>134441237</v>
      </c>
      <c r="AE41" s="50">
        <f t="shared" si="14"/>
        <v>134441237</v>
      </c>
      <c r="AF41" s="50">
        <f t="shared" si="15"/>
        <v>134441237</v>
      </c>
      <c r="AG41" s="50">
        <f t="shared" si="15"/>
        <v>134441237</v>
      </c>
      <c r="AH41" s="50">
        <f t="shared" si="15"/>
        <v>134441237</v>
      </c>
      <c r="AI41" s="50">
        <f t="shared" si="15"/>
        <v>134441237</v>
      </c>
      <c r="AJ41" s="50">
        <f t="shared" si="15"/>
        <v>134441237</v>
      </c>
      <c r="AK41" s="50">
        <f t="shared" si="15"/>
        <v>134441237</v>
      </c>
      <c r="AL41" s="50">
        <f t="shared" si="15"/>
        <v>134441237</v>
      </c>
      <c r="AM41" s="50">
        <f t="shared" si="15"/>
        <v>134441237</v>
      </c>
      <c r="AN41" s="50">
        <f t="shared" si="10"/>
        <v>134441237</v>
      </c>
      <c r="AO41" s="50">
        <f t="shared" si="10"/>
        <v>134441237</v>
      </c>
      <c r="AP41" s="50">
        <f t="shared" si="10"/>
        <v>134441237</v>
      </c>
      <c r="AQ41" s="50">
        <f t="shared" si="10"/>
        <v>134441237</v>
      </c>
      <c r="AR41" s="50">
        <f t="shared" si="10"/>
        <v>134441237</v>
      </c>
      <c r="AS41" s="83">
        <f t="shared" si="11"/>
        <v>3562692780.5</v>
      </c>
      <c r="AT41" s="141"/>
      <c r="AU41" s="141"/>
      <c r="AV41" s="411"/>
      <c r="AW41" s="411"/>
      <c r="AX41" s="411"/>
    </row>
    <row r="42" spans="1:55" ht="12.75" x14ac:dyDescent="0.2">
      <c r="A42" s="622">
        <v>1998</v>
      </c>
      <c r="B42" s="642"/>
      <c r="C42" s="642"/>
      <c r="D42" s="642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>
        <f>+S18/2</f>
        <v>52518996.5</v>
      </c>
      <c r="T42" s="50">
        <f>+S18</f>
        <v>105037993</v>
      </c>
      <c r="U42" s="50">
        <f>+T42</f>
        <v>105037993</v>
      </c>
      <c r="V42" s="50">
        <f>+U42</f>
        <v>105037993</v>
      </c>
      <c r="W42" s="50">
        <f>+V42</f>
        <v>105037993</v>
      </c>
      <c r="X42" s="50">
        <f>+W42</f>
        <v>105037993</v>
      </c>
      <c r="Y42" s="50">
        <f>+X42</f>
        <v>105037993</v>
      </c>
      <c r="Z42" s="50">
        <f t="shared" si="15"/>
        <v>105037993</v>
      </c>
      <c r="AA42" s="50">
        <f t="shared" si="15"/>
        <v>105037993</v>
      </c>
      <c r="AB42" s="50">
        <f t="shared" si="15"/>
        <v>105037993</v>
      </c>
      <c r="AC42" s="50">
        <f t="shared" si="15"/>
        <v>105037993</v>
      </c>
      <c r="AD42" s="50">
        <f t="shared" si="15"/>
        <v>105037993</v>
      </c>
      <c r="AE42" s="50">
        <f t="shared" si="15"/>
        <v>105037993</v>
      </c>
      <c r="AF42" s="50">
        <f t="shared" si="15"/>
        <v>105037993</v>
      </c>
      <c r="AG42" s="50">
        <f t="shared" si="15"/>
        <v>105037993</v>
      </c>
      <c r="AH42" s="50">
        <f t="shared" si="15"/>
        <v>105037993</v>
      </c>
      <c r="AI42" s="50">
        <f t="shared" si="15"/>
        <v>105037993</v>
      </c>
      <c r="AJ42" s="50">
        <f t="shared" si="15"/>
        <v>105037993</v>
      </c>
      <c r="AK42" s="50">
        <f t="shared" si="15"/>
        <v>105037993</v>
      </c>
      <c r="AL42" s="50">
        <f t="shared" si="15"/>
        <v>105037993</v>
      </c>
      <c r="AM42" s="50">
        <f t="shared" si="15"/>
        <v>105037993</v>
      </c>
      <c r="AN42" s="50">
        <f t="shared" si="10"/>
        <v>105037993</v>
      </c>
      <c r="AO42" s="50">
        <f t="shared" si="10"/>
        <v>105037993</v>
      </c>
      <c r="AP42" s="50">
        <f t="shared" si="10"/>
        <v>105037993</v>
      </c>
      <c r="AQ42" s="50">
        <f t="shared" si="10"/>
        <v>105037993</v>
      </c>
      <c r="AR42" s="50">
        <f t="shared" si="10"/>
        <v>105037993</v>
      </c>
      <c r="AS42" s="83">
        <f t="shared" si="11"/>
        <v>2678468821.5</v>
      </c>
      <c r="AT42" s="141"/>
      <c r="AU42" s="141"/>
      <c r="AV42" s="411"/>
      <c r="AW42" s="411"/>
      <c r="AX42" s="411"/>
    </row>
    <row r="43" spans="1:55" ht="12.75" x14ac:dyDescent="0.2">
      <c r="A43" s="622">
        <v>1999</v>
      </c>
      <c r="B43" s="642"/>
      <c r="C43" s="642"/>
      <c r="D43" s="642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>
        <f>+T18/2</f>
        <v>41394239</v>
      </c>
      <c r="U43" s="50">
        <f>+T18</f>
        <v>82788478</v>
      </c>
      <c r="V43" s="50">
        <f>+U43</f>
        <v>82788478</v>
      </c>
      <c r="W43" s="50">
        <f>+V43</f>
        <v>82788478</v>
      </c>
      <c r="X43" s="50">
        <f>+W43</f>
        <v>82788478</v>
      </c>
      <c r="Y43" s="50">
        <f>+X43</f>
        <v>82788478</v>
      </c>
      <c r="Z43" s="50">
        <f t="shared" si="15"/>
        <v>82788478</v>
      </c>
      <c r="AA43" s="50">
        <f t="shared" si="15"/>
        <v>82788478</v>
      </c>
      <c r="AB43" s="50">
        <f t="shared" si="15"/>
        <v>82788478</v>
      </c>
      <c r="AC43" s="50">
        <f t="shared" si="15"/>
        <v>82788478</v>
      </c>
      <c r="AD43" s="50">
        <f t="shared" si="15"/>
        <v>82788478</v>
      </c>
      <c r="AE43" s="50">
        <f t="shared" si="15"/>
        <v>82788478</v>
      </c>
      <c r="AF43" s="50">
        <f t="shared" si="15"/>
        <v>82788478</v>
      </c>
      <c r="AG43" s="50">
        <f t="shared" si="15"/>
        <v>82788478</v>
      </c>
      <c r="AH43" s="50">
        <f t="shared" si="15"/>
        <v>82788478</v>
      </c>
      <c r="AI43" s="50">
        <f t="shared" si="15"/>
        <v>82788478</v>
      </c>
      <c r="AJ43" s="50">
        <f t="shared" si="15"/>
        <v>82788478</v>
      </c>
      <c r="AK43" s="50">
        <f t="shared" si="15"/>
        <v>82788478</v>
      </c>
      <c r="AL43" s="50">
        <f t="shared" si="15"/>
        <v>82788478</v>
      </c>
      <c r="AM43" s="50">
        <f t="shared" si="15"/>
        <v>82788478</v>
      </c>
      <c r="AN43" s="50">
        <f t="shared" si="10"/>
        <v>82788478</v>
      </c>
      <c r="AO43" s="50">
        <f t="shared" si="10"/>
        <v>82788478</v>
      </c>
      <c r="AP43" s="50">
        <f t="shared" si="10"/>
        <v>82788478</v>
      </c>
      <c r="AQ43" s="50">
        <f t="shared" si="10"/>
        <v>82788478</v>
      </c>
      <c r="AR43" s="50">
        <f t="shared" si="10"/>
        <v>82788478</v>
      </c>
      <c r="AS43" s="83">
        <f t="shared" si="11"/>
        <v>2028317711</v>
      </c>
      <c r="AT43" s="141"/>
      <c r="AU43" s="141"/>
      <c r="AV43" s="411"/>
      <c r="AW43" s="411"/>
      <c r="AX43" s="411"/>
    </row>
    <row r="44" spans="1:55" ht="12.75" x14ac:dyDescent="0.2">
      <c r="A44" s="622">
        <v>2000</v>
      </c>
      <c r="B44" s="642"/>
      <c r="C44" s="642"/>
      <c r="D44" s="642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>
        <f>+U18/2</f>
        <v>34636360</v>
      </c>
      <c r="V44" s="50">
        <f>+U18</f>
        <v>69272720</v>
      </c>
      <c r="W44" s="50">
        <f>+V44</f>
        <v>69272720</v>
      </c>
      <c r="X44" s="50">
        <f>+W44</f>
        <v>69272720</v>
      </c>
      <c r="Y44" s="50">
        <f>+X44</f>
        <v>69272720</v>
      </c>
      <c r="Z44" s="50">
        <f t="shared" si="15"/>
        <v>69272720</v>
      </c>
      <c r="AA44" s="50">
        <f t="shared" si="15"/>
        <v>69272720</v>
      </c>
      <c r="AB44" s="50">
        <f t="shared" si="15"/>
        <v>69272720</v>
      </c>
      <c r="AC44" s="50">
        <f t="shared" si="15"/>
        <v>69272720</v>
      </c>
      <c r="AD44" s="50">
        <f t="shared" si="15"/>
        <v>69272720</v>
      </c>
      <c r="AE44" s="50">
        <f t="shared" si="15"/>
        <v>69272720</v>
      </c>
      <c r="AF44" s="50">
        <f t="shared" si="15"/>
        <v>69272720</v>
      </c>
      <c r="AG44" s="50">
        <f t="shared" si="15"/>
        <v>69272720</v>
      </c>
      <c r="AH44" s="50">
        <f t="shared" si="15"/>
        <v>69272720</v>
      </c>
      <c r="AI44" s="50">
        <f t="shared" si="15"/>
        <v>69272720</v>
      </c>
      <c r="AJ44" s="50">
        <f t="shared" si="15"/>
        <v>69272720</v>
      </c>
      <c r="AK44" s="50">
        <f t="shared" si="15"/>
        <v>69272720</v>
      </c>
      <c r="AL44" s="50">
        <f t="shared" si="15"/>
        <v>69272720</v>
      </c>
      <c r="AM44" s="50">
        <f t="shared" si="15"/>
        <v>69272720</v>
      </c>
      <c r="AN44" s="50">
        <f t="shared" ref="AN44:AN59" si="16">+AM44</f>
        <v>69272720</v>
      </c>
      <c r="AO44" s="50">
        <f t="shared" ref="AO44:AO59" si="17">+AN44</f>
        <v>69272720</v>
      </c>
      <c r="AP44" s="50">
        <f t="shared" ref="AP44:AP59" si="18">+AO44</f>
        <v>69272720</v>
      </c>
      <c r="AQ44" s="50">
        <f t="shared" ref="AQ44:AQ59" si="19">+AP44</f>
        <v>69272720</v>
      </c>
      <c r="AR44" s="50">
        <f t="shared" ref="AR44:AR59" si="20">+AQ44</f>
        <v>69272720</v>
      </c>
      <c r="AS44" s="83">
        <f t="shared" si="11"/>
        <v>1627908920</v>
      </c>
      <c r="AT44" s="141"/>
      <c r="AU44" s="141"/>
      <c r="AV44" s="411"/>
      <c r="AW44" s="411"/>
      <c r="AX44" s="411"/>
    </row>
    <row r="45" spans="1:55" ht="12.75" x14ac:dyDescent="0.2">
      <c r="A45" s="622">
        <v>2001</v>
      </c>
      <c r="B45" s="642"/>
      <c r="C45" s="642"/>
      <c r="D45" s="642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>
        <f>+V18/2</f>
        <v>55637241.5</v>
      </c>
      <c r="W45" s="50">
        <f>+V18</f>
        <v>111274483</v>
      </c>
      <c r="X45" s="50">
        <f>+W45</f>
        <v>111274483</v>
      </c>
      <c r="Y45" s="50">
        <f>+X45</f>
        <v>111274483</v>
      </c>
      <c r="Z45" s="50">
        <f t="shared" si="15"/>
        <v>111274483</v>
      </c>
      <c r="AA45" s="50">
        <f t="shared" si="15"/>
        <v>111274483</v>
      </c>
      <c r="AB45" s="50">
        <f t="shared" si="15"/>
        <v>111274483</v>
      </c>
      <c r="AC45" s="50">
        <f t="shared" si="15"/>
        <v>111274483</v>
      </c>
      <c r="AD45" s="50">
        <f t="shared" si="15"/>
        <v>111274483</v>
      </c>
      <c r="AE45" s="50">
        <f t="shared" si="15"/>
        <v>111274483</v>
      </c>
      <c r="AF45" s="50">
        <f t="shared" si="15"/>
        <v>111274483</v>
      </c>
      <c r="AG45" s="50">
        <f t="shared" si="15"/>
        <v>111274483</v>
      </c>
      <c r="AH45" s="50">
        <f t="shared" si="15"/>
        <v>111274483</v>
      </c>
      <c r="AI45" s="50">
        <f t="shared" si="15"/>
        <v>111274483</v>
      </c>
      <c r="AJ45" s="50">
        <f t="shared" si="15"/>
        <v>111274483</v>
      </c>
      <c r="AK45" s="50">
        <f t="shared" si="15"/>
        <v>111274483</v>
      </c>
      <c r="AL45" s="50">
        <f t="shared" si="15"/>
        <v>111274483</v>
      </c>
      <c r="AM45" s="50">
        <f t="shared" si="15"/>
        <v>111274483</v>
      </c>
      <c r="AN45" s="50">
        <f t="shared" si="16"/>
        <v>111274483</v>
      </c>
      <c r="AO45" s="50">
        <f t="shared" si="17"/>
        <v>111274483</v>
      </c>
      <c r="AP45" s="50">
        <f t="shared" si="18"/>
        <v>111274483</v>
      </c>
      <c r="AQ45" s="50">
        <f t="shared" si="19"/>
        <v>111274483</v>
      </c>
      <c r="AR45" s="50">
        <f t="shared" si="20"/>
        <v>111274483</v>
      </c>
      <c r="AS45" s="83">
        <f t="shared" si="11"/>
        <v>2503675867.5</v>
      </c>
      <c r="AT45" s="141"/>
      <c r="AU45" s="141"/>
      <c r="AV45" s="411"/>
      <c r="AW45" s="411"/>
      <c r="AX45" s="411"/>
    </row>
    <row r="46" spans="1:55" ht="12.75" x14ac:dyDescent="0.2">
      <c r="A46" s="622">
        <v>2002</v>
      </c>
      <c r="B46" s="642"/>
      <c r="C46" s="642"/>
      <c r="D46" s="642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>+W18/2</f>
        <v>46982865</v>
      </c>
      <c r="X46" s="50">
        <f>+W18</f>
        <v>93965730</v>
      </c>
      <c r="Y46" s="50">
        <f>+X46</f>
        <v>93965730</v>
      </c>
      <c r="Z46" s="50">
        <f t="shared" si="15"/>
        <v>93965730</v>
      </c>
      <c r="AA46" s="50">
        <f t="shared" si="15"/>
        <v>93965730</v>
      </c>
      <c r="AB46" s="50">
        <f t="shared" si="15"/>
        <v>93965730</v>
      </c>
      <c r="AC46" s="50">
        <f t="shared" si="15"/>
        <v>93965730</v>
      </c>
      <c r="AD46" s="50">
        <f t="shared" si="15"/>
        <v>93965730</v>
      </c>
      <c r="AE46" s="50">
        <f t="shared" si="15"/>
        <v>93965730</v>
      </c>
      <c r="AF46" s="50">
        <f t="shared" si="15"/>
        <v>93965730</v>
      </c>
      <c r="AG46" s="50">
        <f t="shared" si="15"/>
        <v>93965730</v>
      </c>
      <c r="AH46" s="50">
        <f t="shared" si="15"/>
        <v>93965730</v>
      </c>
      <c r="AI46" s="50">
        <f t="shared" si="15"/>
        <v>93965730</v>
      </c>
      <c r="AJ46" s="50">
        <f t="shared" si="15"/>
        <v>93965730</v>
      </c>
      <c r="AK46" s="50">
        <f t="shared" si="15"/>
        <v>93965730</v>
      </c>
      <c r="AL46" s="50">
        <f t="shared" si="15"/>
        <v>93965730</v>
      </c>
      <c r="AM46" s="50">
        <f t="shared" si="15"/>
        <v>93965730</v>
      </c>
      <c r="AN46" s="50">
        <f t="shared" si="16"/>
        <v>93965730</v>
      </c>
      <c r="AO46" s="50">
        <f t="shared" si="17"/>
        <v>93965730</v>
      </c>
      <c r="AP46" s="50">
        <f t="shared" si="18"/>
        <v>93965730</v>
      </c>
      <c r="AQ46" s="50">
        <f t="shared" si="19"/>
        <v>93965730</v>
      </c>
      <c r="AR46" s="50">
        <f t="shared" si="20"/>
        <v>93965730</v>
      </c>
      <c r="AS46" s="83">
        <f t="shared" si="11"/>
        <v>2020263195</v>
      </c>
      <c r="AT46" s="141"/>
      <c r="AU46" s="141"/>
      <c r="AV46" s="411"/>
      <c r="AW46" s="411"/>
      <c r="AX46" s="411"/>
    </row>
    <row r="47" spans="1:55" ht="12.75" x14ac:dyDescent="0.2">
      <c r="A47" s="622">
        <v>2003</v>
      </c>
      <c r="B47" s="642"/>
      <c r="C47" s="642"/>
      <c r="D47" s="642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>
        <f>+X18/2</f>
        <v>59713994.5</v>
      </c>
      <c r="Y47" s="50">
        <f>+X18</f>
        <v>119427989</v>
      </c>
      <c r="Z47" s="50">
        <f t="shared" si="15"/>
        <v>119427989</v>
      </c>
      <c r="AA47" s="50">
        <f t="shared" si="15"/>
        <v>119427989</v>
      </c>
      <c r="AB47" s="50">
        <f t="shared" si="15"/>
        <v>119427989</v>
      </c>
      <c r="AC47" s="50">
        <f t="shared" si="15"/>
        <v>119427989</v>
      </c>
      <c r="AD47" s="50">
        <f t="shared" si="15"/>
        <v>119427989</v>
      </c>
      <c r="AE47" s="50">
        <f t="shared" si="15"/>
        <v>119427989</v>
      </c>
      <c r="AF47" s="50">
        <f t="shared" si="15"/>
        <v>119427989</v>
      </c>
      <c r="AG47" s="50">
        <f t="shared" si="15"/>
        <v>119427989</v>
      </c>
      <c r="AH47" s="50">
        <f t="shared" si="15"/>
        <v>119427989</v>
      </c>
      <c r="AI47" s="50">
        <f t="shared" si="15"/>
        <v>119427989</v>
      </c>
      <c r="AJ47" s="50">
        <f t="shared" si="15"/>
        <v>119427989</v>
      </c>
      <c r="AK47" s="50">
        <f t="shared" si="15"/>
        <v>119427989</v>
      </c>
      <c r="AL47" s="50">
        <f t="shared" si="15"/>
        <v>119427989</v>
      </c>
      <c r="AM47" s="50">
        <f t="shared" si="15"/>
        <v>119427989</v>
      </c>
      <c r="AN47" s="50">
        <f t="shared" si="16"/>
        <v>119427989</v>
      </c>
      <c r="AO47" s="50">
        <f t="shared" si="17"/>
        <v>119427989</v>
      </c>
      <c r="AP47" s="50">
        <f t="shared" si="18"/>
        <v>119427989</v>
      </c>
      <c r="AQ47" s="50">
        <f t="shared" si="19"/>
        <v>119427989</v>
      </c>
      <c r="AR47" s="50">
        <f t="shared" si="20"/>
        <v>119427989</v>
      </c>
      <c r="AS47" s="83">
        <f t="shared" si="11"/>
        <v>2448273774.5</v>
      </c>
      <c r="AT47" s="141"/>
      <c r="AU47" s="141"/>
      <c r="AV47" s="411"/>
      <c r="AW47" s="411"/>
      <c r="AX47" s="411"/>
    </row>
    <row r="48" spans="1:55" ht="12.75" x14ac:dyDescent="0.2">
      <c r="A48" s="622">
        <v>2004</v>
      </c>
      <c r="B48" s="642"/>
      <c r="C48" s="642"/>
      <c r="D48" s="642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>
        <f>+Y18/2</f>
        <v>37484431.5</v>
      </c>
      <c r="Z48" s="50">
        <f>+Y18</f>
        <v>74968863</v>
      </c>
      <c r="AA48" s="50">
        <f>+Z48</f>
        <v>74968863</v>
      </c>
      <c r="AB48" s="50">
        <f t="shared" si="15"/>
        <v>74968863</v>
      </c>
      <c r="AC48" s="50">
        <f t="shared" si="15"/>
        <v>74968863</v>
      </c>
      <c r="AD48" s="50">
        <f t="shared" si="15"/>
        <v>74968863</v>
      </c>
      <c r="AE48" s="50">
        <f t="shared" si="15"/>
        <v>74968863</v>
      </c>
      <c r="AF48" s="50">
        <f t="shared" si="15"/>
        <v>74968863</v>
      </c>
      <c r="AG48" s="50">
        <f t="shared" si="15"/>
        <v>74968863</v>
      </c>
      <c r="AH48" s="50">
        <f t="shared" si="15"/>
        <v>74968863</v>
      </c>
      <c r="AI48" s="50">
        <f t="shared" si="15"/>
        <v>74968863</v>
      </c>
      <c r="AJ48" s="50">
        <f t="shared" si="15"/>
        <v>74968863</v>
      </c>
      <c r="AK48" s="50">
        <f t="shared" si="15"/>
        <v>74968863</v>
      </c>
      <c r="AL48" s="50">
        <f t="shared" si="15"/>
        <v>74968863</v>
      </c>
      <c r="AM48" s="50">
        <f t="shared" si="15"/>
        <v>74968863</v>
      </c>
      <c r="AN48" s="50">
        <f t="shared" si="16"/>
        <v>74968863</v>
      </c>
      <c r="AO48" s="50">
        <f t="shared" si="17"/>
        <v>74968863</v>
      </c>
      <c r="AP48" s="50">
        <f t="shared" si="18"/>
        <v>74968863</v>
      </c>
      <c r="AQ48" s="50">
        <f t="shared" si="19"/>
        <v>74968863</v>
      </c>
      <c r="AR48" s="50">
        <f t="shared" si="20"/>
        <v>74968863</v>
      </c>
      <c r="AS48" s="83">
        <f t="shared" si="11"/>
        <v>1461892828.5</v>
      </c>
      <c r="AT48" s="141"/>
      <c r="AU48" s="141"/>
      <c r="AV48" s="411"/>
      <c r="AW48" s="411"/>
      <c r="AX48" s="411"/>
    </row>
    <row r="49" spans="1:50" ht="12.75" x14ac:dyDescent="0.2">
      <c r="A49" s="622">
        <v>2005</v>
      </c>
      <c r="B49" s="642"/>
      <c r="C49" s="642"/>
      <c r="D49" s="642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>
        <f>+Z18/2</f>
        <v>49928602.143666416</v>
      </c>
      <c r="AA49" s="50">
        <f>+Z18</f>
        <v>99857204.287332833</v>
      </c>
      <c r="AB49" s="50">
        <f t="shared" si="15"/>
        <v>99857204.287332833</v>
      </c>
      <c r="AC49" s="50">
        <f t="shared" si="15"/>
        <v>99857204.287332833</v>
      </c>
      <c r="AD49" s="50">
        <f t="shared" si="15"/>
        <v>99857204.287332833</v>
      </c>
      <c r="AE49" s="50">
        <f t="shared" si="15"/>
        <v>99857204.287332833</v>
      </c>
      <c r="AF49" s="50">
        <f t="shared" si="15"/>
        <v>99857204.287332833</v>
      </c>
      <c r="AG49" s="50">
        <f t="shared" si="15"/>
        <v>99857204.287332833</v>
      </c>
      <c r="AH49" s="50">
        <f t="shared" si="15"/>
        <v>99857204.287332833</v>
      </c>
      <c r="AI49" s="50">
        <f t="shared" si="15"/>
        <v>99857204.287332833</v>
      </c>
      <c r="AJ49" s="50">
        <f t="shared" si="15"/>
        <v>99857204.287332833</v>
      </c>
      <c r="AK49" s="50">
        <f t="shared" si="15"/>
        <v>99857204.287332833</v>
      </c>
      <c r="AL49" s="50">
        <f t="shared" si="15"/>
        <v>99857204.287332833</v>
      </c>
      <c r="AM49" s="50">
        <f t="shared" si="15"/>
        <v>99857204.287332833</v>
      </c>
      <c r="AN49" s="50">
        <f t="shared" si="16"/>
        <v>99857204.287332833</v>
      </c>
      <c r="AO49" s="50">
        <f t="shared" si="17"/>
        <v>99857204.287332833</v>
      </c>
      <c r="AP49" s="50">
        <f t="shared" si="18"/>
        <v>99857204.287332833</v>
      </c>
      <c r="AQ49" s="50">
        <f t="shared" si="19"/>
        <v>99857204.287332833</v>
      </c>
      <c r="AR49" s="50">
        <f t="shared" si="20"/>
        <v>99857204.287332833</v>
      </c>
      <c r="AS49" s="83">
        <f t="shared" si="11"/>
        <v>1847358279.3156567</v>
      </c>
      <c r="AT49" s="141"/>
      <c r="AU49" s="141"/>
      <c r="AV49" s="411"/>
      <c r="AW49" s="411"/>
      <c r="AX49" s="411"/>
    </row>
    <row r="50" spans="1:50" ht="12.75" x14ac:dyDescent="0.2">
      <c r="A50" s="622">
        <v>2006</v>
      </c>
      <c r="B50" s="642"/>
      <c r="C50" s="642"/>
      <c r="D50" s="642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>
        <f>+AA18/2</f>
        <v>53894859.33441101</v>
      </c>
      <c r="AB50" s="50">
        <f>+AA18</f>
        <v>107789718.66882202</v>
      </c>
      <c r="AC50" s="50">
        <f>+AB50</f>
        <v>107789718.66882202</v>
      </c>
      <c r="AD50" s="50">
        <f>+AC50</f>
        <v>107789718.66882202</v>
      </c>
      <c r="AE50" s="50">
        <f>+AD50</f>
        <v>107789718.66882202</v>
      </c>
      <c r="AF50" s="50">
        <f>+AE50</f>
        <v>107789718.66882202</v>
      </c>
      <c r="AG50" s="50">
        <f t="shared" si="15"/>
        <v>107789718.66882202</v>
      </c>
      <c r="AH50" s="50">
        <f t="shared" si="15"/>
        <v>107789718.66882202</v>
      </c>
      <c r="AI50" s="50">
        <f t="shared" si="15"/>
        <v>107789718.66882202</v>
      </c>
      <c r="AJ50" s="50">
        <f t="shared" si="15"/>
        <v>107789718.66882202</v>
      </c>
      <c r="AK50" s="50">
        <f t="shared" si="15"/>
        <v>107789718.66882202</v>
      </c>
      <c r="AL50" s="50">
        <f t="shared" si="15"/>
        <v>107789718.66882202</v>
      </c>
      <c r="AM50" s="50">
        <f t="shared" si="15"/>
        <v>107789718.66882202</v>
      </c>
      <c r="AN50" s="50">
        <f t="shared" si="16"/>
        <v>107789718.66882202</v>
      </c>
      <c r="AO50" s="50">
        <f t="shared" si="17"/>
        <v>107789718.66882202</v>
      </c>
      <c r="AP50" s="50">
        <f t="shared" si="18"/>
        <v>107789718.66882202</v>
      </c>
      <c r="AQ50" s="50">
        <f t="shared" si="19"/>
        <v>107789718.66882202</v>
      </c>
      <c r="AR50" s="50">
        <f t="shared" si="20"/>
        <v>107789718.66882202</v>
      </c>
      <c r="AS50" s="83">
        <f t="shared" si="11"/>
        <v>1886320076.7043858</v>
      </c>
      <c r="AT50" s="141"/>
      <c r="AU50" s="141"/>
      <c r="AV50" s="411"/>
      <c r="AW50" s="411"/>
      <c r="AX50" s="411"/>
    </row>
    <row r="51" spans="1:50" ht="12.75" x14ac:dyDescent="0.2">
      <c r="A51" s="622">
        <v>2007</v>
      </c>
      <c r="B51" s="642"/>
      <c r="C51" s="642"/>
      <c r="D51" s="642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>
        <f>+AB18/2</f>
        <v>82196519.210579857</v>
      </c>
      <c r="AC51" s="50">
        <f>+AB18</f>
        <v>164393038.42115971</v>
      </c>
      <c r="AD51" s="50">
        <f>+AC51</f>
        <v>164393038.42115971</v>
      </c>
      <c r="AE51" s="50">
        <f>+AD51</f>
        <v>164393038.42115971</v>
      </c>
      <c r="AF51" s="50">
        <f>+AE51</f>
        <v>164393038.42115971</v>
      </c>
      <c r="AG51" s="50">
        <f t="shared" si="15"/>
        <v>164393038.42115971</v>
      </c>
      <c r="AH51" s="50">
        <f t="shared" si="15"/>
        <v>164393038.42115971</v>
      </c>
      <c r="AI51" s="50">
        <f t="shared" si="15"/>
        <v>164393038.42115971</v>
      </c>
      <c r="AJ51" s="50">
        <f t="shared" si="15"/>
        <v>164393038.42115971</v>
      </c>
      <c r="AK51" s="50">
        <f t="shared" si="15"/>
        <v>164393038.42115971</v>
      </c>
      <c r="AL51" s="50">
        <f t="shared" si="15"/>
        <v>164393038.42115971</v>
      </c>
      <c r="AM51" s="50">
        <f t="shared" si="15"/>
        <v>164393038.42115971</v>
      </c>
      <c r="AN51" s="50">
        <f t="shared" si="16"/>
        <v>164393038.42115971</v>
      </c>
      <c r="AO51" s="50">
        <f t="shared" si="17"/>
        <v>164393038.42115971</v>
      </c>
      <c r="AP51" s="50">
        <f t="shared" si="18"/>
        <v>164393038.42115971</v>
      </c>
      <c r="AQ51" s="50">
        <f t="shared" si="19"/>
        <v>164393038.42115971</v>
      </c>
      <c r="AR51" s="50">
        <f t="shared" si="20"/>
        <v>164393038.42115971</v>
      </c>
      <c r="AS51" s="83">
        <f t="shared" si="11"/>
        <v>2712485133.9491353</v>
      </c>
      <c r="AT51" s="141"/>
      <c r="AU51" s="141"/>
      <c r="AV51" s="411"/>
      <c r="AW51" s="411"/>
      <c r="AX51" s="411"/>
    </row>
    <row r="52" spans="1:50" ht="12.75" x14ac:dyDescent="0.2">
      <c r="A52" s="622">
        <v>2008</v>
      </c>
      <c r="B52" s="642"/>
      <c r="C52" s="642"/>
      <c r="D52" s="642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>
        <f>+AC18/2</f>
        <v>30356678.04489876</v>
      </c>
      <c r="AD52" s="50">
        <f>+AC18</f>
        <v>60713356.089797519</v>
      </c>
      <c r="AE52" s="50">
        <f>+AD52</f>
        <v>60713356.089797519</v>
      </c>
      <c r="AF52" s="50">
        <f>+AE52</f>
        <v>60713356.089797519</v>
      </c>
      <c r="AG52" s="50">
        <f t="shared" si="15"/>
        <v>60713356.089797519</v>
      </c>
      <c r="AH52" s="50">
        <f t="shared" si="15"/>
        <v>60713356.089797519</v>
      </c>
      <c r="AI52" s="50">
        <f t="shared" si="15"/>
        <v>60713356.089797519</v>
      </c>
      <c r="AJ52" s="50">
        <f t="shared" si="15"/>
        <v>60713356.089797519</v>
      </c>
      <c r="AK52" s="50">
        <f t="shared" si="15"/>
        <v>60713356.089797519</v>
      </c>
      <c r="AL52" s="50">
        <f t="shared" si="15"/>
        <v>60713356.089797519</v>
      </c>
      <c r="AM52" s="50">
        <f t="shared" si="15"/>
        <v>60713356.089797519</v>
      </c>
      <c r="AN52" s="50">
        <f t="shared" si="16"/>
        <v>60713356.089797519</v>
      </c>
      <c r="AO52" s="50">
        <f t="shared" si="17"/>
        <v>60713356.089797519</v>
      </c>
      <c r="AP52" s="50">
        <f t="shared" si="18"/>
        <v>60713356.089797519</v>
      </c>
      <c r="AQ52" s="50">
        <f t="shared" si="19"/>
        <v>60713356.089797519</v>
      </c>
      <c r="AR52" s="50">
        <f t="shared" si="20"/>
        <v>60713356.089797519</v>
      </c>
      <c r="AS52" s="83">
        <f t="shared" si="11"/>
        <v>941057019.39186132</v>
      </c>
      <c r="AT52" s="141"/>
      <c r="AU52" s="141"/>
      <c r="AV52" s="411"/>
      <c r="AW52" s="411"/>
      <c r="AX52" s="411"/>
    </row>
    <row r="53" spans="1:50" ht="12.75" x14ac:dyDescent="0.2">
      <c r="A53" s="622">
        <v>2009</v>
      </c>
      <c r="B53" s="642"/>
      <c r="C53" s="642"/>
      <c r="D53" s="642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>
        <f>+AD18/2</f>
        <v>34831645.667975016</v>
      </c>
      <c r="AE53" s="50">
        <f>+AD18</f>
        <v>69663291.335950032</v>
      </c>
      <c r="AF53" s="50">
        <f>+AE53</f>
        <v>69663291.335950032</v>
      </c>
      <c r="AG53" s="50">
        <f t="shared" ref="AG53:AM58" si="21">+AF53</f>
        <v>69663291.335950032</v>
      </c>
      <c r="AH53" s="50">
        <f t="shared" si="21"/>
        <v>69663291.335950032</v>
      </c>
      <c r="AI53" s="50">
        <f t="shared" si="21"/>
        <v>69663291.335950032</v>
      </c>
      <c r="AJ53" s="50">
        <f t="shared" si="21"/>
        <v>69663291.335950032</v>
      </c>
      <c r="AK53" s="50">
        <f t="shared" si="21"/>
        <v>69663291.335950032</v>
      </c>
      <c r="AL53" s="50">
        <f t="shared" si="21"/>
        <v>69663291.335950032</v>
      </c>
      <c r="AM53" s="50">
        <f t="shared" si="21"/>
        <v>69663291.335950032</v>
      </c>
      <c r="AN53" s="50">
        <f t="shared" si="16"/>
        <v>69663291.335950032</v>
      </c>
      <c r="AO53" s="50">
        <f t="shared" si="17"/>
        <v>69663291.335950032</v>
      </c>
      <c r="AP53" s="50">
        <f t="shared" si="18"/>
        <v>69663291.335950032</v>
      </c>
      <c r="AQ53" s="50">
        <f t="shared" si="19"/>
        <v>69663291.335950032</v>
      </c>
      <c r="AR53" s="50">
        <f t="shared" si="20"/>
        <v>69663291.335950032</v>
      </c>
      <c r="AS53" s="83">
        <f t="shared" si="11"/>
        <v>1010117724.3712753</v>
      </c>
      <c r="AT53" s="141"/>
      <c r="AU53" s="141"/>
      <c r="AV53" s="411"/>
      <c r="AW53" s="411"/>
      <c r="AX53" s="411"/>
    </row>
    <row r="54" spans="1:50" ht="12.75" x14ac:dyDescent="0.2">
      <c r="A54" s="622">
        <v>2010</v>
      </c>
      <c r="B54" s="642"/>
      <c r="C54" s="642"/>
      <c r="D54" s="642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>
        <f>+AE18/2</f>
        <v>31365136.817543972</v>
      </c>
      <c r="AF54" s="50">
        <f>+AE18</f>
        <v>62730273.635087945</v>
      </c>
      <c r="AG54" s="50">
        <f t="shared" si="21"/>
        <v>62730273.635087945</v>
      </c>
      <c r="AH54" s="50">
        <f t="shared" si="21"/>
        <v>62730273.635087945</v>
      </c>
      <c r="AI54" s="50">
        <f t="shared" si="21"/>
        <v>62730273.635087945</v>
      </c>
      <c r="AJ54" s="50">
        <f t="shared" si="21"/>
        <v>62730273.635087945</v>
      </c>
      <c r="AK54" s="50">
        <f t="shared" si="21"/>
        <v>62730273.635087945</v>
      </c>
      <c r="AL54" s="50">
        <f t="shared" si="21"/>
        <v>62730273.635087945</v>
      </c>
      <c r="AM54" s="50">
        <f t="shared" si="21"/>
        <v>62730273.635087945</v>
      </c>
      <c r="AN54" s="50">
        <f t="shared" si="16"/>
        <v>62730273.635087945</v>
      </c>
      <c r="AO54" s="50">
        <f t="shared" si="17"/>
        <v>62730273.635087945</v>
      </c>
      <c r="AP54" s="50">
        <f t="shared" si="18"/>
        <v>62730273.635087945</v>
      </c>
      <c r="AQ54" s="50">
        <f t="shared" si="19"/>
        <v>62730273.635087945</v>
      </c>
      <c r="AR54" s="50">
        <f t="shared" si="20"/>
        <v>62730273.635087945</v>
      </c>
      <c r="AS54" s="83">
        <f t="shared" si="11"/>
        <v>846858694.07368743</v>
      </c>
      <c r="AT54" s="141"/>
      <c r="AU54" s="141"/>
      <c r="AV54" s="411"/>
      <c r="AW54" s="411"/>
      <c r="AX54" s="411"/>
    </row>
    <row r="55" spans="1:50" ht="12.75" x14ac:dyDescent="0.2">
      <c r="A55" s="622">
        <v>2011</v>
      </c>
      <c r="B55" s="642"/>
      <c r="C55" s="642"/>
      <c r="D55" s="642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>
        <f>+AF18/2</f>
        <v>32437242.511346906</v>
      </c>
      <c r="AG55" s="50">
        <f>+AF18</f>
        <v>64874485.022693813</v>
      </c>
      <c r="AH55" s="50">
        <f t="shared" si="21"/>
        <v>64874485.022693813</v>
      </c>
      <c r="AI55" s="50">
        <f t="shared" si="21"/>
        <v>64874485.022693813</v>
      </c>
      <c r="AJ55" s="50">
        <f t="shared" si="21"/>
        <v>64874485.022693813</v>
      </c>
      <c r="AK55" s="50">
        <f t="shared" si="21"/>
        <v>64874485.022693813</v>
      </c>
      <c r="AL55" s="50">
        <f t="shared" si="21"/>
        <v>64874485.022693813</v>
      </c>
      <c r="AM55" s="50">
        <f t="shared" si="21"/>
        <v>64874485.022693813</v>
      </c>
      <c r="AN55" s="50">
        <f t="shared" si="16"/>
        <v>64874485.022693813</v>
      </c>
      <c r="AO55" s="50">
        <f t="shared" si="17"/>
        <v>64874485.022693813</v>
      </c>
      <c r="AP55" s="50">
        <f t="shared" si="18"/>
        <v>64874485.022693813</v>
      </c>
      <c r="AQ55" s="50">
        <f t="shared" si="19"/>
        <v>64874485.022693813</v>
      </c>
      <c r="AR55" s="50">
        <f t="shared" si="20"/>
        <v>64874485.022693813</v>
      </c>
      <c r="AS55" s="83">
        <f t="shared" si="11"/>
        <v>810931062.78367281</v>
      </c>
      <c r="AT55" s="141"/>
      <c r="AU55" s="141"/>
      <c r="AV55" s="411"/>
      <c r="AW55" s="411"/>
      <c r="AX55" s="411"/>
    </row>
    <row r="56" spans="1:50" ht="12.75" x14ac:dyDescent="0.2">
      <c r="A56" s="622">
        <v>2012</v>
      </c>
      <c r="B56" s="642"/>
      <c r="C56" s="642"/>
      <c r="D56" s="642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>
        <f>+AG18/2</f>
        <v>34958660.196311995</v>
      </c>
      <c r="AH56" s="50">
        <f>+AG18</f>
        <v>69917320.392623991</v>
      </c>
      <c r="AI56" s="50">
        <f>+AH56</f>
        <v>69917320.392623991</v>
      </c>
      <c r="AJ56" s="50">
        <f t="shared" si="21"/>
        <v>69917320.392623991</v>
      </c>
      <c r="AK56" s="50">
        <f t="shared" si="21"/>
        <v>69917320.392623991</v>
      </c>
      <c r="AL56" s="50">
        <f t="shared" si="21"/>
        <v>69917320.392623991</v>
      </c>
      <c r="AM56" s="50">
        <f t="shared" si="21"/>
        <v>69917320.392623991</v>
      </c>
      <c r="AN56" s="50">
        <f t="shared" si="16"/>
        <v>69917320.392623991</v>
      </c>
      <c r="AO56" s="50">
        <f t="shared" si="17"/>
        <v>69917320.392623991</v>
      </c>
      <c r="AP56" s="50">
        <f t="shared" si="18"/>
        <v>69917320.392623991</v>
      </c>
      <c r="AQ56" s="50">
        <f t="shared" si="19"/>
        <v>69917320.392623991</v>
      </c>
      <c r="AR56" s="50">
        <f t="shared" si="20"/>
        <v>69917320.392623991</v>
      </c>
      <c r="AS56" s="83">
        <f t="shared" si="11"/>
        <v>804049184.51517606</v>
      </c>
      <c r="AT56" s="141"/>
      <c r="AU56" s="141"/>
      <c r="AV56" s="411"/>
      <c r="AW56" s="411"/>
      <c r="AX56" s="411"/>
    </row>
    <row r="57" spans="1:50" ht="12.75" x14ac:dyDescent="0.2">
      <c r="A57" s="622">
        <v>2013</v>
      </c>
      <c r="B57" s="642"/>
      <c r="C57" s="642"/>
      <c r="D57" s="642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>
        <f>+AH18/2</f>
        <v>37731462.462140515</v>
      </c>
      <c r="AI57" s="50">
        <f>+AH18</f>
        <v>75462924.924281031</v>
      </c>
      <c r="AJ57" s="50">
        <f t="shared" si="21"/>
        <v>75462924.924281031</v>
      </c>
      <c r="AK57" s="50">
        <f t="shared" si="21"/>
        <v>75462924.924281031</v>
      </c>
      <c r="AL57" s="50">
        <f t="shared" si="21"/>
        <v>75462924.924281031</v>
      </c>
      <c r="AM57" s="50">
        <f t="shared" si="21"/>
        <v>75462924.924281031</v>
      </c>
      <c r="AN57" s="50">
        <f t="shared" si="16"/>
        <v>75462924.924281031</v>
      </c>
      <c r="AO57" s="50">
        <f t="shared" si="17"/>
        <v>75462924.924281031</v>
      </c>
      <c r="AP57" s="50">
        <f t="shared" si="18"/>
        <v>75462924.924281031</v>
      </c>
      <c r="AQ57" s="50">
        <f t="shared" si="19"/>
        <v>75462924.924281031</v>
      </c>
      <c r="AR57" s="50">
        <f t="shared" si="20"/>
        <v>75462924.924281031</v>
      </c>
      <c r="AS57" s="83">
        <f t="shared" si="11"/>
        <v>792360711.70495069</v>
      </c>
      <c r="AT57" s="141"/>
      <c r="AU57" s="141"/>
      <c r="AV57" s="411"/>
      <c r="AW57" s="411"/>
      <c r="AX57" s="411"/>
    </row>
    <row r="58" spans="1:50" ht="12.75" x14ac:dyDescent="0.2">
      <c r="A58" s="622">
        <v>2014</v>
      </c>
      <c r="B58" s="642"/>
      <c r="C58" s="642"/>
      <c r="D58" s="642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>
        <f>+AI18/2</f>
        <v>29486022.922947805</v>
      </c>
      <c r="AJ58" s="50">
        <f>AI18</f>
        <v>58972045.845895611</v>
      </c>
      <c r="AK58" s="50">
        <f>AJ58</f>
        <v>58972045.845895611</v>
      </c>
      <c r="AL58" s="50">
        <f t="shared" si="21"/>
        <v>58972045.845895611</v>
      </c>
      <c r="AM58" s="50">
        <f t="shared" si="21"/>
        <v>58972045.845895611</v>
      </c>
      <c r="AN58" s="50">
        <f t="shared" si="16"/>
        <v>58972045.845895611</v>
      </c>
      <c r="AO58" s="50">
        <f t="shared" si="17"/>
        <v>58972045.845895611</v>
      </c>
      <c r="AP58" s="50">
        <f t="shared" si="18"/>
        <v>58972045.845895611</v>
      </c>
      <c r="AQ58" s="50">
        <f t="shared" si="19"/>
        <v>58972045.845895611</v>
      </c>
      <c r="AR58" s="50">
        <f t="shared" si="20"/>
        <v>58972045.845895611</v>
      </c>
      <c r="AS58" s="83">
        <f t="shared" si="11"/>
        <v>560234435.53600824</v>
      </c>
      <c r="AT58" s="141"/>
      <c r="AU58" s="141"/>
      <c r="AV58" s="411"/>
      <c r="AW58" s="411"/>
      <c r="AX58" s="411"/>
    </row>
    <row r="59" spans="1:50" ht="12.75" x14ac:dyDescent="0.2">
      <c r="A59" s="646">
        <v>2015</v>
      </c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19"/>
      <c r="P59" s="819"/>
      <c r="Q59" s="819"/>
      <c r="R59" s="819"/>
      <c r="S59" s="819"/>
      <c r="T59" s="819"/>
      <c r="U59" s="819"/>
      <c r="V59" s="819"/>
      <c r="W59" s="819"/>
      <c r="X59" s="819"/>
      <c r="Y59" s="819"/>
      <c r="Z59" s="819"/>
      <c r="AA59" s="84"/>
      <c r="AB59" s="84"/>
      <c r="AC59" s="84"/>
      <c r="AD59" s="84"/>
      <c r="AE59" s="84"/>
      <c r="AF59" s="84"/>
      <c r="AG59" s="84"/>
      <c r="AH59" s="142"/>
      <c r="AI59" s="142"/>
      <c r="AJ59" s="143">
        <f>AJ18/2</f>
        <v>65335000</v>
      </c>
      <c r="AK59" s="143">
        <f>AJ18</f>
        <v>130670000</v>
      </c>
      <c r="AL59" s="143">
        <f>+AK59</f>
        <v>130670000</v>
      </c>
      <c r="AM59" s="143">
        <f>+AL59</f>
        <v>130670000</v>
      </c>
      <c r="AN59" s="143">
        <f t="shared" si="16"/>
        <v>130670000</v>
      </c>
      <c r="AO59" s="143">
        <f t="shared" si="17"/>
        <v>130670000</v>
      </c>
      <c r="AP59" s="143">
        <f t="shared" si="18"/>
        <v>130670000</v>
      </c>
      <c r="AQ59" s="143">
        <f t="shared" si="19"/>
        <v>130670000</v>
      </c>
      <c r="AR59" s="143">
        <f t="shared" si="20"/>
        <v>130670000</v>
      </c>
      <c r="AS59" s="83">
        <f t="shared" si="11"/>
        <v>1110695000</v>
      </c>
      <c r="AT59" s="411"/>
      <c r="AV59" s="820"/>
      <c r="AW59" s="41"/>
      <c r="AX59" s="41"/>
    </row>
    <row r="60" spans="1:50" ht="12.75" x14ac:dyDescent="0.2">
      <c r="A60" s="646">
        <v>2016</v>
      </c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  <c r="N60" s="819"/>
      <c r="O60" s="819"/>
      <c r="P60" s="819"/>
      <c r="Q60" s="819"/>
      <c r="R60" s="819"/>
      <c r="S60" s="819"/>
      <c r="T60" s="819"/>
      <c r="U60" s="819"/>
      <c r="V60" s="819"/>
      <c r="W60" s="819"/>
      <c r="X60" s="819"/>
      <c r="Y60" s="819"/>
      <c r="Z60" s="819"/>
      <c r="AA60" s="84"/>
      <c r="AB60" s="84"/>
      <c r="AC60" s="84"/>
      <c r="AD60" s="84"/>
      <c r="AE60" s="84"/>
      <c r="AF60" s="84"/>
      <c r="AG60" s="84"/>
      <c r="AH60" s="142"/>
      <c r="AI60" s="142"/>
      <c r="AJ60" s="142"/>
      <c r="AK60" s="143">
        <f>AK18/2</f>
        <v>20010071.405162998</v>
      </c>
      <c r="AL60" s="143">
        <f>AK18</f>
        <v>40020142.810325995</v>
      </c>
      <c r="AM60" s="143">
        <f>AL60</f>
        <v>40020142.810325995</v>
      </c>
      <c r="AN60" s="143">
        <f t="shared" ref="AN60:AR61" si="22">AM60</f>
        <v>40020142.810325995</v>
      </c>
      <c r="AO60" s="143">
        <f t="shared" si="22"/>
        <v>40020142.810325995</v>
      </c>
      <c r="AP60" s="143">
        <f t="shared" si="22"/>
        <v>40020142.810325995</v>
      </c>
      <c r="AQ60" s="143">
        <f t="shared" si="22"/>
        <v>40020142.810325995</v>
      </c>
      <c r="AR60" s="143">
        <f t="shared" si="22"/>
        <v>40020142.810325995</v>
      </c>
      <c r="AS60" s="83">
        <f t="shared" si="11"/>
        <v>300151071.07744491</v>
      </c>
      <c r="AT60" s="411"/>
      <c r="AV60" s="820"/>
      <c r="AW60" s="41"/>
      <c r="AX60" s="41"/>
    </row>
    <row r="61" spans="1:50" ht="12.75" x14ac:dyDescent="0.2">
      <c r="A61" s="646">
        <v>2017</v>
      </c>
      <c r="B61" s="819"/>
      <c r="C61" s="819"/>
      <c r="D61" s="819"/>
      <c r="E61" s="819"/>
      <c r="F61" s="819"/>
      <c r="G61" s="819"/>
      <c r="H61" s="819"/>
      <c r="I61" s="819"/>
      <c r="J61" s="819"/>
      <c r="K61" s="819"/>
      <c r="L61" s="819"/>
      <c r="M61" s="819"/>
      <c r="N61" s="819"/>
      <c r="O61" s="819"/>
      <c r="P61" s="819"/>
      <c r="Q61" s="819"/>
      <c r="R61" s="819"/>
      <c r="S61" s="819"/>
      <c r="T61" s="819"/>
      <c r="U61" s="819"/>
      <c r="V61" s="819"/>
      <c r="W61" s="819"/>
      <c r="X61" s="819"/>
      <c r="Y61" s="819"/>
      <c r="Z61" s="819"/>
      <c r="AA61" s="84"/>
      <c r="AB61" s="84"/>
      <c r="AC61" s="84"/>
      <c r="AD61" s="84"/>
      <c r="AE61" s="84"/>
      <c r="AF61" s="84"/>
      <c r="AG61" s="84"/>
      <c r="AH61" s="142"/>
      <c r="AI61" s="142"/>
      <c r="AJ61" s="142"/>
      <c r="AK61" s="143"/>
      <c r="AL61" s="143">
        <f>+AL18/2</f>
        <v>23748688.277910076</v>
      </c>
      <c r="AM61" s="143">
        <f>+AL18</f>
        <v>47497376.555820152</v>
      </c>
      <c r="AN61" s="143">
        <f>AM61</f>
        <v>47497376.555820152</v>
      </c>
      <c r="AO61" s="143">
        <f t="shared" si="22"/>
        <v>47497376.555820152</v>
      </c>
      <c r="AP61" s="143">
        <f t="shared" si="22"/>
        <v>47497376.555820152</v>
      </c>
      <c r="AQ61" s="143">
        <f t="shared" si="22"/>
        <v>47497376.555820152</v>
      </c>
      <c r="AR61" s="143">
        <f t="shared" si="22"/>
        <v>47497376.555820152</v>
      </c>
      <c r="AS61" s="83">
        <f t="shared" si="11"/>
        <v>308732947.612831</v>
      </c>
      <c r="AT61" s="411"/>
      <c r="AV61" s="820"/>
      <c r="AW61" s="41"/>
      <c r="AX61" s="41"/>
    </row>
    <row r="62" spans="1:50" ht="12.75" x14ac:dyDescent="0.2">
      <c r="A62" s="646">
        <v>2018</v>
      </c>
      <c r="B62" s="819"/>
      <c r="C62" s="819"/>
      <c r="D62" s="819"/>
      <c r="E62" s="819"/>
      <c r="F62" s="819"/>
      <c r="G62" s="819"/>
      <c r="H62" s="819"/>
      <c r="I62" s="819"/>
      <c r="J62" s="819"/>
      <c r="K62" s="819"/>
      <c r="L62" s="819"/>
      <c r="M62" s="819"/>
      <c r="N62" s="819"/>
      <c r="O62" s="819"/>
      <c r="P62" s="819"/>
      <c r="Q62" s="819"/>
      <c r="R62" s="819"/>
      <c r="S62" s="819"/>
      <c r="T62" s="819"/>
      <c r="U62" s="819"/>
      <c r="V62" s="819"/>
      <c r="W62" s="819"/>
      <c r="X62" s="819"/>
      <c r="Y62" s="819"/>
      <c r="Z62" s="819"/>
      <c r="AA62" s="84"/>
      <c r="AB62" s="84"/>
      <c r="AC62" s="84"/>
      <c r="AD62" s="84"/>
      <c r="AE62" s="84"/>
      <c r="AF62" s="84"/>
      <c r="AG62" s="84"/>
      <c r="AH62" s="142"/>
      <c r="AI62" s="142"/>
      <c r="AJ62" s="142"/>
      <c r="AK62" s="143"/>
      <c r="AL62" s="143"/>
      <c r="AM62" s="143">
        <f>AM18/2</f>
        <v>31525469.00613825</v>
      </c>
      <c r="AN62" s="143">
        <f>AM18</f>
        <v>63050938.0122765</v>
      </c>
      <c r="AO62" s="143">
        <f>AN62</f>
        <v>63050938.0122765</v>
      </c>
      <c r="AP62" s="143">
        <f t="shared" ref="AP62:AR62" si="23">AO62</f>
        <v>63050938.0122765</v>
      </c>
      <c r="AQ62" s="143">
        <f t="shared" si="23"/>
        <v>63050938.0122765</v>
      </c>
      <c r="AR62" s="143">
        <f t="shared" si="23"/>
        <v>63050938.0122765</v>
      </c>
      <c r="AS62" s="86">
        <f t="shared" si="11"/>
        <v>346780159.06752074</v>
      </c>
      <c r="AT62" s="411"/>
      <c r="AV62" s="820"/>
      <c r="AW62" s="41"/>
      <c r="AX62" s="41"/>
    </row>
    <row r="63" spans="1:50" ht="12.75" x14ac:dyDescent="0.2">
      <c r="A63" s="646">
        <v>2019</v>
      </c>
      <c r="B63" s="819"/>
      <c r="C63" s="819"/>
      <c r="D63" s="819"/>
      <c r="E63" s="819"/>
      <c r="F63" s="819"/>
      <c r="G63" s="819"/>
      <c r="H63" s="819"/>
      <c r="I63" s="819"/>
      <c r="J63" s="819"/>
      <c r="K63" s="819"/>
      <c r="L63" s="819"/>
      <c r="M63" s="819"/>
      <c r="N63" s="819"/>
      <c r="O63" s="819"/>
      <c r="P63" s="819"/>
      <c r="Q63" s="819"/>
      <c r="R63" s="819"/>
      <c r="S63" s="819"/>
      <c r="T63" s="819"/>
      <c r="U63" s="819"/>
      <c r="V63" s="819"/>
      <c r="W63" s="819"/>
      <c r="X63" s="819"/>
      <c r="Y63" s="819"/>
      <c r="Z63" s="819"/>
      <c r="AA63" s="84"/>
      <c r="AB63" s="84"/>
      <c r="AC63" s="84"/>
      <c r="AD63" s="84"/>
      <c r="AE63" s="84"/>
      <c r="AF63" s="84"/>
      <c r="AG63" s="84"/>
      <c r="AH63" s="142"/>
      <c r="AI63" s="142"/>
      <c r="AJ63" s="142"/>
      <c r="AK63" s="143"/>
      <c r="AL63" s="143"/>
      <c r="AM63" s="143"/>
      <c r="AN63" s="143">
        <f>AN18/2</f>
        <v>16170409.718185</v>
      </c>
      <c r="AO63" s="143">
        <f>AN18</f>
        <v>32340819.43637</v>
      </c>
      <c r="AP63" s="143">
        <f>AO63</f>
        <v>32340819.43637</v>
      </c>
      <c r="AQ63" s="143">
        <f t="shared" ref="AQ63:AR65" si="24">AP63</f>
        <v>32340819.43637</v>
      </c>
      <c r="AR63" s="143">
        <f t="shared" si="24"/>
        <v>32340819.43637</v>
      </c>
      <c r="AS63" s="86">
        <f t="shared" si="11"/>
        <v>145533687.46366501</v>
      </c>
      <c r="AT63" s="411"/>
      <c r="AV63" s="820"/>
      <c r="AW63" s="41"/>
      <c r="AX63" s="41"/>
    </row>
    <row r="64" spans="1:50" ht="12.75" x14ac:dyDescent="0.2">
      <c r="A64" s="646">
        <v>2020</v>
      </c>
      <c r="B64" s="819"/>
      <c r="C64" s="819"/>
      <c r="D64" s="819"/>
      <c r="E64" s="819"/>
      <c r="F64" s="819"/>
      <c r="G64" s="819"/>
      <c r="H64" s="819"/>
      <c r="I64" s="819"/>
      <c r="J64" s="819"/>
      <c r="K64" s="819"/>
      <c r="L64" s="819"/>
      <c r="M64" s="819"/>
      <c r="N64" s="819"/>
      <c r="O64" s="819"/>
      <c r="P64" s="819"/>
      <c r="Q64" s="819"/>
      <c r="R64" s="819"/>
      <c r="S64" s="819"/>
      <c r="T64" s="819"/>
      <c r="U64" s="819"/>
      <c r="V64" s="819"/>
      <c r="W64" s="819"/>
      <c r="X64" s="819"/>
      <c r="Y64" s="819"/>
      <c r="Z64" s="819"/>
      <c r="AA64" s="84"/>
      <c r="AB64" s="84"/>
      <c r="AC64" s="84"/>
      <c r="AD64" s="84"/>
      <c r="AE64" s="84"/>
      <c r="AF64" s="84"/>
      <c r="AG64" s="84"/>
      <c r="AH64" s="142"/>
      <c r="AI64" s="142"/>
      <c r="AJ64" s="142"/>
      <c r="AK64" s="143"/>
      <c r="AL64" s="143"/>
      <c r="AM64" s="143"/>
      <c r="AN64" s="143"/>
      <c r="AO64" s="143">
        <f>AO18/2</f>
        <v>15105995.699699994</v>
      </c>
      <c r="AP64" s="143">
        <f>AO18</f>
        <v>30211991.399399988</v>
      </c>
      <c r="AQ64" s="143">
        <f t="shared" si="24"/>
        <v>30211991.399399988</v>
      </c>
      <c r="AR64" s="143">
        <f t="shared" si="24"/>
        <v>30211991.399399988</v>
      </c>
      <c r="AS64" s="86">
        <f t="shared" si="11"/>
        <v>105741969.89789996</v>
      </c>
      <c r="AT64" s="411"/>
      <c r="AV64" s="820"/>
      <c r="AW64" s="41"/>
      <c r="AX64" s="41"/>
    </row>
    <row r="65" spans="1:64" ht="12.75" x14ac:dyDescent="0.2">
      <c r="A65" s="646">
        <v>2021</v>
      </c>
      <c r="B65" s="819"/>
      <c r="C65" s="819"/>
      <c r="D65" s="819"/>
      <c r="E65" s="819"/>
      <c r="F65" s="819"/>
      <c r="G65" s="819"/>
      <c r="H65" s="819"/>
      <c r="I65" s="819"/>
      <c r="J65" s="819"/>
      <c r="K65" s="819"/>
      <c r="L65" s="819"/>
      <c r="M65" s="819"/>
      <c r="N65" s="819"/>
      <c r="O65" s="819"/>
      <c r="P65" s="819"/>
      <c r="Q65" s="819"/>
      <c r="R65" s="819"/>
      <c r="S65" s="819"/>
      <c r="T65" s="819"/>
      <c r="U65" s="819"/>
      <c r="V65" s="819"/>
      <c r="W65" s="819"/>
      <c r="X65" s="819"/>
      <c r="Y65" s="819"/>
      <c r="Z65" s="819"/>
      <c r="AA65" s="84"/>
      <c r="AB65" s="84"/>
      <c r="AC65" s="84"/>
      <c r="AD65" s="84"/>
      <c r="AE65" s="84"/>
      <c r="AF65" s="84"/>
      <c r="AG65" s="84"/>
      <c r="AH65" s="142"/>
      <c r="AI65" s="142"/>
      <c r="AJ65" s="142"/>
      <c r="AK65" s="143"/>
      <c r="AL65" s="143"/>
      <c r="AM65" s="143"/>
      <c r="AN65" s="143"/>
      <c r="AO65" s="143"/>
      <c r="AP65" s="143">
        <f>AP18/2</f>
        <v>8705284.2391250003</v>
      </c>
      <c r="AQ65" s="143">
        <f>AP18</f>
        <v>17410568.478250001</v>
      </c>
      <c r="AR65" s="143">
        <f t="shared" si="24"/>
        <v>17410568.478250001</v>
      </c>
      <c r="AS65" s="86">
        <f t="shared" si="11"/>
        <v>43526421.195625007</v>
      </c>
      <c r="AT65" s="411"/>
      <c r="AV65" s="820"/>
      <c r="AW65" s="41"/>
      <c r="AX65" s="41"/>
    </row>
    <row r="66" spans="1:64" ht="12.75" x14ac:dyDescent="0.2">
      <c r="A66" s="646">
        <v>2022</v>
      </c>
      <c r="B66" s="819"/>
      <c r="C66" s="819"/>
      <c r="D66" s="819"/>
      <c r="E66" s="819"/>
      <c r="F66" s="819"/>
      <c r="G66" s="819"/>
      <c r="H66" s="819"/>
      <c r="I66" s="819"/>
      <c r="J66" s="819"/>
      <c r="K66" s="819"/>
      <c r="L66" s="819"/>
      <c r="M66" s="819"/>
      <c r="N66" s="819"/>
      <c r="O66" s="819"/>
      <c r="P66" s="819"/>
      <c r="Q66" s="819"/>
      <c r="R66" s="819"/>
      <c r="S66" s="819"/>
      <c r="T66" s="819"/>
      <c r="U66" s="819"/>
      <c r="V66" s="819"/>
      <c r="W66" s="819"/>
      <c r="X66" s="819"/>
      <c r="Y66" s="819"/>
      <c r="Z66" s="819"/>
      <c r="AA66" s="84"/>
      <c r="AB66" s="84"/>
      <c r="AC66" s="84"/>
      <c r="AD66" s="84"/>
      <c r="AE66" s="84"/>
      <c r="AF66" s="84"/>
      <c r="AG66" s="84"/>
      <c r="AH66" s="142"/>
      <c r="AI66" s="142"/>
      <c r="AJ66" s="142"/>
      <c r="AK66" s="143"/>
      <c r="AL66" s="143"/>
      <c r="AM66" s="143"/>
      <c r="AN66" s="143"/>
      <c r="AO66" s="143"/>
      <c r="AP66" s="143"/>
      <c r="AQ66" s="143">
        <f>AQ18/2</f>
        <v>8360643.5298055978</v>
      </c>
      <c r="AR66" s="143">
        <f>AQ18</f>
        <v>16721287.059611196</v>
      </c>
      <c r="AS66" s="86">
        <f t="shared" si="11"/>
        <v>25081930.589416794</v>
      </c>
      <c r="AT66" s="411"/>
      <c r="AV66" s="820"/>
      <c r="AW66" s="41"/>
      <c r="AX66" s="41"/>
    </row>
    <row r="67" spans="1:64" ht="13.5" thickBot="1" x14ac:dyDescent="0.25">
      <c r="A67" s="646">
        <v>2023</v>
      </c>
      <c r="B67" s="819"/>
      <c r="C67" s="819"/>
      <c r="D67" s="819"/>
      <c r="E67" s="819"/>
      <c r="F67" s="819"/>
      <c r="G67" s="819"/>
      <c r="H67" s="819"/>
      <c r="I67" s="819"/>
      <c r="J67" s="819"/>
      <c r="K67" s="819"/>
      <c r="L67" s="819"/>
      <c r="M67" s="819"/>
      <c r="N67" s="819"/>
      <c r="O67" s="819"/>
      <c r="P67" s="819"/>
      <c r="Q67" s="819"/>
      <c r="R67" s="819"/>
      <c r="S67" s="819"/>
      <c r="T67" s="819"/>
      <c r="U67" s="819"/>
      <c r="V67" s="819"/>
      <c r="W67" s="819"/>
      <c r="X67" s="819"/>
      <c r="Y67" s="819"/>
      <c r="Z67" s="819"/>
      <c r="AA67" s="84"/>
      <c r="AB67" s="84"/>
      <c r="AC67" s="84"/>
      <c r="AD67" s="84"/>
      <c r="AE67" s="84"/>
      <c r="AF67" s="84"/>
      <c r="AG67" s="84"/>
      <c r="AH67" s="142"/>
      <c r="AI67" s="142"/>
      <c r="AJ67" s="142"/>
      <c r="AK67" s="143"/>
      <c r="AL67" s="143"/>
      <c r="AM67" s="143"/>
      <c r="AN67" s="143"/>
      <c r="AO67" s="143"/>
      <c r="AP67" s="143"/>
      <c r="AQ67" s="143"/>
      <c r="AR67" s="143">
        <f>AR18/2</f>
        <v>24822348.193115197</v>
      </c>
      <c r="AS67" s="86">
        <f t="shared" si="11"/>
        <v>24822348.193115197</v>
      </c>
      <c r="AT67" s="411"/>
      <c r="AV67" s="820"/>
      <c r="AW67" s="41"/>
      <c r="AX67" s="41"/>
    </row>
    <row r="68" spans="1:64" s="141" customFormat="1" ht="15.75" thickBot="1" x14ac:dyDescent="0.3">
      <c r="A68" s="821"/>
      <c r="B68" s="200">
        <f>SUM(B28:B62)</f>
        <v>0</v>
      </c>
      <c r="C68" s="200">
        <f t="shared" ref="C68:AL68" si="25">SUM(C28:C62)</f>
        <v>0</v>
      </c>
      <c r="D68" s="200">
        <f t="shared" si="25"/>
        <v>0</v>
      </c>
      <c r="E68" s="200">
        <f t="shared" si="25"/>
        <v>1834862.3853211009</v>
      </c>
      <c r="F68" s="200">
        <f t="shared" si="25"/>
        <v>13707501.349163519</v>
      </c>
      <c r="G68" s="200">
        <f t="shared" si="25"/>
        <v>27253103.076092824</v>
      </c>
      <c r="H68" s="200">
        <f t="shared" si="25"/>
        <v>33513221.80248246</v>
      </c>
      <c r="I68" s="200">
        <f t="shared" si="25"/>
        <v>37776578.521316789</v>
      </c>
      <c r="J68" s="200">
        <f t="shared" si="25"/>
        <v>41446303.291958988</v>
      </c>
      <c r="K68" s="200">
        <f t="shared" si="25"/>
        <v>50566648.677819759</v>
      </c>
      <c r="L68" s="200">
        <f t="shared" si="25"/>
        <v>69951192.120885059</v>
      </c>
      <c r="M68" s="200">
        <f t="shared" si="25"/>
        <v>100145108.47274691</v>
      </c>
      <c r="N68" s="200">
        <f t="shared" si="25"/>
        <v>159195175.93092284</v>
      </c>
      <c r="O68" s="200">
        <f t="shared" si="25"/>
        <v>277917913.11386943</v>
      </c>
      <c r="P68" s="200">
        <f t="shared" si="25"/>
        <v>465614857.50350785</v>
      </c>
      <c r="Q68" s="200">
        <f t="shared" si="25"/>
        <v>757224842.00350785</v>
      </c>
      <c r="R68" s="200">
        <f t="shared" si="25"/>
        <v>1005802227.0035079</v>
      </c>
      <c r="S68" s="200">
        <f t="shared" si="25"/>
        <v>1125541842.0035079</v>
      </c>
      <c r="T68" s="200">
        <f t="shared" si="25"/>
        <v>1219455077.5035079</v>
      </c>
      <c r="U68" s="200">
        <f t="shared" si="25"/>
        <v>1295485676.5035079</v>
      </c>
      <c r="V68" s="200">
        <f t="shared" si="25"/>
        <v>1385759278.0035079</v>
      </c>
      <c r="W68" s="200">
        <f t="shared" si="25"/>
        <v>1488379384.5035079</v>
      </c>
      <c r="X68" s="200">
        <f t="shared" si="25"/>
        <v>1595076244.0035079</v>
      </c>
      <c r="Y68" s="200">
        <f t="shared" si="25"/>
        <v>1692274670.0035079</v>
      </c>
      <c r="Z68" s="200">
        <f t="shared" si="25"/>
        <v>1779687703.6471744</v>
      </c>
      <c r="AA68" s="200">
        <f t="shared" si="25"/>
        <v>1883511165.1252515</v>
      </c>
      <c r="AB68" s="200">
        <f t="shared" si="25"/>
        <v>2019602543.6702425</v>
      </c>
      <c r="AC68" s="200">
        <f t="shared" si="25"/>
        <v>2132155740.9257212</v>
      </c>
      <c r="AD68" s="200">
        <f t="shared" si="25"/>
        <v>2197344064.6385951</v>
      </c>
      <c r="AE68" s="200">
        <f t="shared" si="25"/>
        <v>2263540847.124114</v>
      </c>
      <c r="AF68" s="200">
        <f t="shared" si="25"/>
        <v>2327343226.4530048</v>
      </c>
      <c r="AG68" s="200">
        <f t="shared" si="25"/>
        <v>2394739129.1606636</v>
      </c>
      <c r="AH68" s="822">
        <f t="shared" si="25"/>
        <v>2467429251.8191161</v>
      </c>
      <c r="AI68" s="822">
        <f t="shared" si="25"/>
        <v>2534646737.2042046</v>
      </c>
      <c r="AJ68" s="822">
        <f t="shared" si="25"/>
        <v>2629467760.1271524</v>
      </c>
      <c r="AK68" s="822">
        <f t="shared" si="25"/>
        <v>2714812831.5323153</v>
      </c>
      <c r="AL68" s="822">
        <f t="shared" si="25"/>
        <v>2758571591.2153888</v>
      </c>
      <c r="AM68" s="822">
        <f>SUM(AM28:AM67)</f>
        <v>2813845748.4994369</v>
      </c>
      <c r="AN68" s="822">
        <f t="shared" ref="AN68:AR68" si="26">SUM(AN28:AN67)</f>
        <v>2861541627.2237601</v>
      </c>
      <c r="AO68" s="822">
        <f t="shared" si="26"/>
        <v>2892818032.641645</v>
      </c>
      <c r="AP68" s="822">
        <f t="shared" si="26"/>
        <v>2916629312.5804696</v>
      </c>
      <c r="AQ68" s="822">
        <f t="shared" si="26"/>
        <v>2933695240.3494005</v>
      </c>
      <c r="AR68" s="822">
        <f t="shared" si="26"/>
        <v>2966878232.0723214</v>
      </c>
      <c r="AS68" s="823">
        <f>SUM(AS28:AS67)</f>
        <v>60332182493.787636</v>
      </c>
      <c r="AT68" s="652"/>
      <c r="AU68" s="110"/>
      <c r="AY68" s="824"/>
      <c r="AZ68" s="824"/>
      <c r="BA68" s="824"/>
      <c r="BB68" s="824"/>
      <c r="BC68" s="824"/>
      <c r="BD68" s="824"/>
      <c r="BE68" s="824"/>
      <c r="BF68" s="824"/>
      <c r="BG68" s="824"/>
      <c r="BH68" s="824"/>
      <c r="BI68" s="824"/>
      <c r="BJ68" s="824"/>
      <c r="BK68" s="824"/>
      <c r="BL68" s="824"/>
    </row>
    <row r="69" spans="1:64" s="831" customFormat="1" ht="12.75" x14ac:dyDescent="0.2">
      <c r="A69" s="825"/>
      <c r="B69" s="825"/>
      <c r="C69" s="825"/>
      <c r="D69" s="825"/>
      <c r="E69" s="825"/>
      <c r="F69" s="825"/>
      <c r="G69" s="825"/>
      <c r="H69" s="825"/>
      <c r="I69" s="825"/>
      <c r="J69" s="825"/>
      <c r="K69" s="825"/>
      <c r="L69" s="825"/>
      <c r="M69" s="825"/>
      <c r="N69" s="825"/>
      <c r="O69" s="825"/>
      <c r="P69" s="825"/>
      <c r="Q69" s="825"/>
      <c r="R69" s="825"/>
      <c r="S69" s="825"/>
      <c r="T69" s="825"/>
      <c r="U69" s="825"/>
      <c r="V69" s="825"/>
      <c r="W69" s="825"/>
      <c r="X69" s="825"/>
      <c r="Y69" s="825"/>
      <c r="Z69" s="825"/>
      <c r="AA69" s="825"/>
      <c r="AB69" s="826"/>
      <c r="AC69" s="826"/>
      <c r="AD69" s="827"/>
      <c r="AE69" s="827"/>
      <c r="AF69" s="827"/>
      <c r="AG69" s="827"/>
      <c r="AH69" s="828"/>
      <c r="AI69" s="828"/>
      <c r="AJ69" s="828"/>
      <c r="AK69" s="110"/>
      <c r="AL69" s="110"/>
      <c r="AM69" s="110"/>
      <c r="AN69" s="110"/>
      <c r="AO69" s="110"/>
      <c r="AP69" s="110"/>
      <c r="AQ69" s="110"/>
      <c r="AR69" s="110"/>
      <c r="AS69" s="110"/>
      <c r="AT69" s="411"/>
      <c r="AU69" s="829"/>
      <c r="AV69" s="830"/>
      <c r="AW69" s="829"/>
      <c r="AX69" s="829"/>
    </row>
    <row r="70" spans="1:64" s="831" customFormat="1" x14ac:dyDescent="0.2">
      <c r="A70" s="832"/>
      <c r="AB70" s="829"/>
      <c r="AC70" s="829"/>
      <c r="AD70" s="119"/>
      <c r="AE70" s="119"/>
      <c r="AF70" s="119"/>
      <c r="AG70" s="119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34"/>
      <c r="AT70" s="833"/>
      <c r="AU70" s="834"/>
      <c r="AV70" s="830"/>
      <c r="AW70" s="834"/>
      <c r="AX70" s="834"/>
    </row>
    <row r="71" spans="1:64" s="831" customFormat="1" x14ac:dyDescent="0.2">
      <c r="AB71" s="829"/>
      <c r="AC71" s="829"/>
      <c r="AD71" s="119"/>
      <c r="AE71" s="119"/>
      <c r="AF71" s="119"/>
      <c r="AG71" s="119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34"/>
      <c r="AT71" s="833"/>
      <c r="AU71" s="834"/>
      <c r="AV71" s="830"/>
      <c r="AW71" s="834"/>
      <c r="AX71" s="834"/>
    </row>
    <row r="72" spans="1:64" s="831" customFormat="1" ht="12.75" x14ac:dyDescent="0.2">
      <c r="A72" s="835"/>
      <c r="B72" s="836">
        <v>1981</v>
      </c>
      <c r="C72" s="836">
        <v>1982</v>
      </c>
      <c r="D72" s="836">
        <v>1983</v>
      </c>
      <c r="E72" s="836">
        <v>1984</v>
      </c>
      <c r="F72" s="836">
        <v>1985</v>
      </c>
      <c r="G72" s="836">
        <v>1986</v>
      </c>
      <c r="H72" s="836">
        <v>1987</v>
      </c>
      <c r="I72" s="836">
        <v>1988</v>
      </c>
      <c r="J72" s="836">
        <v>1989</v>
      </c>
      <c r="K72" s="836">
        <v>1990</v>
      </c>
      <c r="L72" s="836">
        <v>1991</v>
      </c>
      <c r="M72" s="836">
        <v>1992</v>
      </c>
      <c r="N72" s="836">
        <v>1993</v>
      </c>
      <c r="O72" s="836">
        <v>1994</v>
      </c>
      <c r="P72" s="836">
        <v>1995</v>
      </c>
      <c r="Q72" s="836">
        <v>1996</v>
      </c>
      <c r="R72" s="836">
        <v>1997</v>
      </c>
      <c r="S72" s="836">
        <v>1998</v>
      </c>
      <c r="T72" s="836">
        <v>1999</v>
      </c>
      <c r="U72" s="836">
        <v>2000</v>
      </c>
      <c r="V72" s="836">
        <v>2001</v>
      </c>
      <c r="W72" s="836">
        <v>2002</v>
      </c>
      <c r="X72" s="836">
        <v>2003</v>
      </c>
      <c r="Y72" s="836">
        <v>2004</v>
      </c>
      <c r="Z72" s="836">
        <v>2005</v>
      </c>
      <c r="AA72" s="836">
        <v>2006</v>
      </c>
      <c r="AB72" s="837">
        <v>2007</v>
      </c>
      <c r="AC72" s="837">
        <v>2008</v>
      </c>
      <c r="AD72" s="837">
        <v>2009</v>
      </c>
      <c r="AE72" s="837">
        <v>2010</v>
      </c>
      <c r="AF72" s="837">
        <v>2011</v>
      </c>
      <c r="AG72" s="837">
        <v>2012</v>
      </c>
      <c r="AH72" s="837">
        <v>2013</v>
      </c>
      <c r="AI72" s="837">
        <v>2014</v>
      </c>
      <c r="AJ72" s="837">
        <v>2015</v>
      </c>
      <c r="AK72" s="837">
        <v>2016</v>
      </c>
      <c r="AL72" s="837">
        <v>2017</v>
      </c>
      <c r="AM72" s="837">
        <v>2018</v>
      </c>
      <c r="AN72" s="837">
        <v>2019</v>
      </c>
      <c r="AO72" s="837">
        <v>2020</v>
      </c>
      <c r="AP72" s="837">
        <v>2021</v>
      </c>
      <c r="AQ72" s="837">
        <v>2022</v>
      </c>
      <c r="AR72" s="837">
        <v>2023</v>
      </c>
      <c r="AS72" s="304" t="s">
        <v>199</v>
      </c>
      <c r="AT72" s="833"/>
      <c r="AU72" s="834"/>
      <c r="AV72" s="830"/>
      <c r="AW72" s="834"/>
      <c r="AX72" s="834"/>
    </row>
    <row r="73" spans="1:64" s="831" customFormat="1" ht="12.75" x14ac:dyDescent="0.2">
      <c r="A73" s="835" t="s">
        <v>133</v>
      </c>
      <c r="B73" s="838">
        <f t="shared" ref="B73:B83" si="27">+B8/2</f>
        <v>0</v>
      </c>
      <c r="C73" s="838">
        <f t="shared" ref="C73:C83" si="28">SUM(B8)+C8/2</f>
        <v>0</v>
      </c>
      <c r="D73" s="838">
        <f>SUM($B8:C8)+D8/2</f>
        <v>0</v>
      </c>
      <c r="E73" s="838">
        <f>SUM($B8:D8)+E8/2</f>
        <v>0</v>
      </c>
      <c r="F73" s="838">
        <f>SUM($B8:E8)+F8/2</f>
        <v>0</v>
      </c>
      <c r="G73" s="838">
        <f>SUM($B8:F8)+G8/2</f>
        <v>0</v>
      </c>
      <c r="H73" s="838">
        <f>SUM($B8:G8)+H8/2</f>
        <v>0</v>
      </c>
      <c r="I73" s="838">
        <f>SUM($B8:H8)+I8/2</f>
        <v>0</v>
      </c>
      <c r="J73" s="838">
        <f>SUM($B8:I8)+J8/2</f>
        <v>0</v>
      </c>
      <c r="K73" s="838">
        <f>SUM($B8:J8)+K8/2</f>
        <v>0</v>
      </c>
      <c r="L73" s="838">
        <f>SUM($B8:K8)+L8/2</f>
        <v>0</v>
      </c>
      <c r="M73" s="838">
        <f>SUM($B8:L8)+M8/2</f>
        <v>0</v>
      </c>
      <c r="N73" s="838">
        <f>SUM($B8:M8)+N8/2</f>
        <v>0</v>
      </c>
      <c r="O73" s="838">
        <f>SUM($B8:N8)+O8/2</f>
        <v>0</v>
      </c>
      <c r="P73" s="838">
        <f>SUM($B8:O8)+P8/2</f>
        <v>0</v>
      </c>
      <c r="Q73" s="838">
        <f>SUM($B8:P8)+Q8/2</f>
        <v>0</v>
      </c>
      <c r="R73" s="838">
        <f>SUM($B8:Q8)+R8/2</f>
        <v>0</v>
      </c>
      <c r="S73" s="838">
        <f>SUM($B8:R8)+S8/2</f>
        <v>0</v>
      </c>
      <c r="T73" s="838">
        <f>SUM($B8:S8)+T8/2</f>
        <v>0</v>
      </c>
      <c r="U73" s="838">
        <f>SUM($B8:T8)+U8/2</f>
        <v>0</v>
      </c>
      <c r="V73" s="838">
        <f>SUM($B8:U8)+V8/2</f>
        <v>0</v>
      </c>
      <c r="W73" s="838">
        <f>SUM($B8:V8)+W8/2</f>
        <v>0</v>
      </c>
      <c r="X73" s="838">
        <f>SUM($B8:W8)+X8/2</f>
        <v>0</v>
      </c>
      <c r="Y73" s="838">
        <f>SUM($B8:X8)+Y8/2</f>
        <v>0</v>
      </c>
      <c r="Z73" s="838">
        <f>SUM($B8:Y8)+Z8/2</f>
        <v>0</v>
      </c>
      <c r="AA73" s="838">
        <f>SUM($B8:Z8)+AA8/2</f>
        <v>0</v>
      </c>
      <c r="AB73" s="838">
        <f>SUM($B8:AA8)+AB8/2</f>
        <v>0</v>
      </c>
      <c r="AC73" s="838">
        <f>SUM($B8:AB8)+AC8/2</f>
        <v>0</v>
      </c>
      <c r="AD73" s="838">
        <f>SUM($B8:AC8)+AD8/2</f>
        <v>0</v>
      </c>
      <c r="AE73" s="838">
        <f>SUM($B8:AD8)+AE8/2</f>
        <v>0</v>
      </c>
      <c r="AF73" s="838">
        <f>SUM($B8:AE8)+AF8/2</f>
        <v>0</v>
      </c>
      <c r="AG73" s="838">
        <f>SUM($B8:AF8)+AG8/2</f>
        <v>0</v>
      </c>
      <c r="AH73" s="838">
        <f>SUM($B8:AG8)+AH8/2</f>
        <v>0</v>
      </c>
      <c r="AI73" s="838">
        <f>SUM($B8:AH8)+AI8/2</f>
        <v>0</v>
      </c>
      <c r="AJ73" s="838">
        <f>SUM($B8:AI8)+AJ8/2</f>
        <v>0</v>
      </c>
      <c r="AK73" s="838">
        <f>SUM($B8:AJ8)+AK8/2</f>
        <v>0</v>
      </c>
      <c r="AL73" s="838">
        <f>SUM($B8:AK8)+AL8/2</f>
        <v>0</v>
      </c>
      <c r="AM73" s="838">
        <f>SUM($B8:AL8)+AM8/2</f>
        <v>0</v>
      </c>
      <c r="AN73" s="838">
        <f>SUM($B8:AM8)+AN8/2</f>
        <v>0</v>
      </c>
      <c r="AO73" s="838">
        <f>SUM($B8:AN8)+AO8/2</f>
        <v>0</v>
      </c>
      <c r="AP73" s="838">
        <f>SUM($B8:AO8)+AP8/2</f>
        <v>0</v>
      </c>
      <c r="AQ73" s="838">
        <f>SUM($B8:AP8)+AQ8/2</f>
        <v>0</v>
      </c>
      <c r="AR73" s="838">
        <f>SUM($B8:AQ8)+AR8/2</f>
        <v>0</v>
      </c>
      <c r="AS73" s="305">
        <f>SUM(B73:AR73)</f>
        <v>0</v>
      </c>
      <c r="AT73" s="833"/>
      <c r="AU73" s="834"/>
      <c r="AV73" s="830"/>
      <c r="AW73" s="834"/>
      <c r="AX73" s="834"/>
    </row>
    <row r="74" spans="1:64" s="831" customFormat="1" ht="12.75" x14ac:dyDescent="0.2">
      <c r="A74" s="835" t="s">
        <v>134</v>
      </c>
      <c r="B74" s="838">
        <f t="shared" si="27"/>
        <v>0</v>
      </c>
      <c r="C74" s="838">
        <f t="shared" si="28"/>
        <v>0</v>
      </c>
      <c r="D74" s="838">
        <f>SUM($B9:C9)+D9/2</f>
        <v>0</v>
      </c>
      <c r="E74" s="838">
        <f>SUM($B9:D9)+E9/2</f>
        <v>1834862.3853211009</v>
      </c>
      <c r="F74" s="838">
        <f>SUM($B9:E9)+F9/2</f>
        <v>13707501.349163519</v>
      </c>
      <c r="G74" s="838">
        <f>SUM($B9:F9)+G9/2</f>
        <v>27253103.076092824</v>
      </c>
      <c r="H74" s="838">
        <f>SUM($B9:G9)+H9/2</f>
        <v>33513221.80248246</v>
      </c>
      <c r="I74" s="838">
        <f>SUM($B9:H9)+I9/2</f>
        <v>37776578.521316789</v>
      </c>
      <c r="J74" s="838">
        <f>SUM($B9:I9)+J9/2</f>
        <v>41446303.291958988</v>
      </c>
      <c r="K74" s="838">
        <f>SUM($B9:J9)+K9/2</f>
        <v>50566648.677819759</v>
      </c>
      <c r="L74" s="838">
        <f>SUM($B9:K9)+L9/2</f>
        <v>60939017.808958448</v>
      </c>
      <c r="M74" s="838">
        <f>SUM($B9:L9)+M9/2</f>
        <v>69481921.208850518</v>
      </c>
      <c r="N74" s="838">
        <f>SUM($B9:M9)+N9/2</f>
        <v>98302524.015110642</v>
      </c>
      <c r="O74" s="838">
        <f>SUM($B9:N9)+O9/2</f>
        <v>177740396.11440909</v>
      </c>
      <c r="P74" s="838">
        <f>SUM($B9:O9)+P9/2</f>
        <v>320339765.43227202</v>
      </c>
      <c r="Q74" s="838">
        <f>SUM($B9:P9)+Q9/2</f>
        <v>560914743.43227196</v>
      </c>
      <c r="R74" s="838">
        <f>SUM($B9:Q9)+R9/2</f>
        <v>754957759.93227196</v>
      </c>
      <c r="S74" s="838">
        <f>SUM($B9:R9)+S9/2</f>
        <v>830565127.93227196</v>
      </c>
      <c r="T74" s="838">
        <f>SUM($B9:S9)+T9/2</f>
        <v>878522721.43227196</v>
      </c>
      <c r="U74" s="838">
        <f>SUM($B9:T9)+U9/2</f>
        <v>897732039.93227196</v>
      </c>
      <c r="V74" s="838">
        <f>SUM($B9:U9)+V9/2</f>
        <v>912361793.93227196</v>
      </c>
      <c r="W74" s="838">
        <f>SUM($B9:V9)+W9/2</f>
        <v>931127930.43227196</v>
      </c>
      <c r="X74" s="838">
        <f>SUM($B9:W9)+X9/2</f>
        <v>952759685.93227196</v>
      </c>
      <c r="Y74" s="838">
        <f>SUM($B9:X9)+Y9/2</f>
        <v>978883790.93227196</v>
      </c>
      <c r="Z74" s="838">
        <f>SUM($B9:Y9)+Z9/2</f>
        <v>1007380722.613902</v>
      </c>
      <c r="AA74" s="838">
        <f>SUM($B9:Z9)+AA9/2</f>
        <v>1035933234.4710345</v>
      </c>
      <c r="AB74" s="305">
        <f>SUM($B9:AA9)+AB9/2</f>
        <v>1064606744.6028556</v>
      </c>
      <c r="AC74" s="305">
        <f>SUM($B9:AB9)+AC9/2</f>
        <v>1086936400.7284787</v>
      </c>
      <c r="AD74" s="305">
        <f>SUM($B9:AC9)+AD9/2</f>
        <v>1103651868.218179</v>
      </c>
      <c r="AE74" s="305">
        <f>SUM($B9:AD9)+AE9/2</f>
        <v>1121950236.1992662</v>
      </c>
      <c r="AF74" s="305">
        <f>SUM($B9:AE9)+AF9/2</f>
        <v>1142066025.2487261</v>
      </c>
      <c r="AG74" s="305">
        <f>SUM($B9:AF9)+AG9/2</f>
        <v>1163677805.2654066</v>
      </c>
      <c r="AH74" s="305">
        <f>SUM($B9:AG9)+AH9/2</f>
        <v>1183010108.2185516</v>
      </c>
      <c r="AI74" s="305">
        <f>SUM($B9:AH9)+AI9/2</f>
        <v>1195280534.6983676</v>
      </c>
      <c r="AJ74" s="305">
        <f>SUM($B9:AI9)+AJ9/2</f>
        <v>1245529180.3529506</v>
      </c>
      <c r="AK74" s="305">
        <f>SUM($B9:AJ9)+AK9/2</f>
        <v>1295159305.475276</v>
      </c>
      <c r="AL74" s="305">
        <f>SUM($B9:AK9)+AL9/2</f>
        <v>1311013939.0074515</v>
      </c>
      <c r="AM74" s="305">
        <f>SUM($B9:AL9)+AM9/2</f>
        <v>1346631799.4205766</v>
      </c>
      <c r="AN74" s="305">
        <f>SUM($B9:AM9)+AN9/2</f>
        <v>1382453995.3913317</v>
      </c>
      <c r="AO74" s="305">
        <f>SUM($B9:AN9)+AO9/2</f>
        <v>1403966684.0787616</v>
      </c>
      <c r="AP74" s="305">
        <f>SUM($B9:AO9)+AP9/2</f>
        <v>1419201294.8208866</v>
      </c>
      <c r="AQ74" s="305">
        <f>SUM($B9:AP9)+AQ9/2</f>
        <v>1429984015.3485816</v>
      </c>
      <c r="AR74" s="305">
        <f>SUM($B9:AQ9)+AR9/2</f>
        <v>1450958067.5519018</v>
      </c>
      <c r="AS74" s="305">
        <f t="shared" ref="AS74:AS83" si="29">SUM(B74:AR74)</f>
        <v>32020119399.286694</v>
      </c>
      <c r="AT74" s="833"/>
      <c r="AU74" s="834"/>
      <c r="AV74" s="830"/>
      <c r="AW74" s="834"/>
      <c r="AX74" s="834"/>
    </row>
    <row r="75" spans="1:64" s="831" customFormat="1" ht="12.75" x14ac:dyDescent="0.2">
      <c r="A75" s="835" t="s">
        <v>135</v>
      </c>
      <c r="B75" s="838">
        <f t="shared" si="27"/>
        <v>0</v>
      </c>
      <c r="C75" s="838">
        <f t="shared" si="28"/>
        <v>0</v>
      </c>
      <c r="D75" s="838">
        <f>SUM($B10:C10)+D10/2</f>
        <v>0</v>
      </c>
      <c r="E75" s="838">
        <f>SUM($B10:D10)+E10/2</f>
        <v>0</v>
      </c>
      <c r="F75" s="838">
        <f>SUM($B10:E10)+F10/2</f>
        <v>0</v>
      </c>
      <c r="G75" s="838">
        <f>SUM($B10:F10)+G10/2</f>
        <v>0</v>
      </c>
      <c r="H75" s="838">
        <f>SUM($B10:G10)+H10/2</f>
        <v>0</v>
      </c>
      <c r="I75" s="838">
        <f>SUM($B10:H10)+I10/2</f>
        <v>0</v>
      </c>
      <c r="J75" s="838">
        <f>SUM($B10:I10)+J10/2</f>
        <v>0</v>
      </c>
      <c r="K75" s="838">
        <f>SUM($B10:J10)+K10/2</f>
        <v>0</v>
      </c>
      <c r="L75" s="838">
        <f>SUM($B10:K10)+L10/2</f>
        <v>0</v>
      </c>
      <c r="M75" s="838">
        <f>SUM($B10:L10)+M10/2</f>
        <v>0</v>
      </c>
      <c r="N75" s="838">
        <f>SUM($B10:M10)+N10/2</f>
        <v>16123.583378305451</v>
      </c>
      <c r="O75" s="838">
        <f>SUM($B10:N10)+O10/2</f>
        <v>142800.86346465192</v>
      </c>
      <c r="P75" s="838">
        <f>SUM($B10:O10)+P10/2</f>
        <v>332546.06017269293</v>
      </c>
      <c r="Q75" s="838">
        <f>SUM($B10:P10)+Q10/2</f>
        <v>450872.56017269293</v>
      </c>
      <c r="R75" s="838">
        <f>SUM($B10:Q10)+R10/2</f>
        <v>490437.56017269293</v>
      </c>
      <c r="S75" s="838">
        <f>SUM($B10:R10)+S10/2</f>
        <v>490867.56017269293</v>
      </c>
      <c r="T75" s="838">
        <f>SUM($B10:S10)+T10/2</f>
        <v>490867.56017269293</v>
      </c>
      <c r="U75" s="838">
        <f>SUM($B10:T10)+U10/2</f>
        <v>490867.56017269293</v>
      </c>
      <c r="V75" s="838">
        <f>SUM($B10:U10)+V10/2</f>
        <v>490867.56017269293</v>
      </c>
      <c r="W75" s="838">
        <f>SUM($B10:V10)+W10/2</f>
        <v>490867.56017269293</v>
      </c>
      <c r="X75" s="838">
        <f>SUM($B10:W10)+X10/2</f>
        <v>490867.56017269293</v>
      </c>
      <c r="Y75" s="838">
        <f>SUM($B10:X10)+Y10/2</f>
        <v>490867.56017269293</v>
      </c>
      <c r="Z75" s="838">
        <f>SUM($B10:Y10)+Z10/2</f>
        <v>490867.56017269293</v>
      </c>
      <c r="AA75" s="838">
        <f>SUM($B10:Z10)+AA10/2</f>
        <v>490867.56017269293</v>
      </c>
      <c r="AB75" s="305">
        <f>SUM($B10:AA10)+AB10/2</f>
        <v>490867.56017269293</v>
      </c>
      <c r="AC75" s="305">
        <f>SUM($B10:AB10)+AC10/2</f>
        <v>490867.56017269293</v>
      </c>
      <c r="AD75" s="305">
        <f>SUM($B10:AC10)+AD10/2</f>
        <v>490867.56017269293</v>
      </c>
      <c r="AE75" s="305">
        <f>SUM($B10:AD10)+AE10/2</f>
        <v>490867.56017269293</v>
      </c>
      <c r="AF75" s="305">
        <f>SUM($B10:AE10)+AF10/2</f>
        <v>490867.56017269293</v>
      </c>
      <c r="AG75" s="305">
        <f>SUM($B10:AF10)+AG10/2</f>
        <v>490867.56017269293</v>
      </c>
      <c r="AH75" s="305">
        <f>SUM($B10:AG10)+AH10/2</f>
        <v>490867.56017269293</v>
      </c>
      <c r="AI75" s="305">
        <f>SUM($B10:AH10)+AI10/2</f>
        <v>490867.56017269293</v>
      </c>
      <c r="AJ75" s="305">
        <f>SUM($B10:AI10)+AJ10/2</f>
        <v>490867.56017269293</v>
      </c>
      <c r="AK75" s="305">
        <f>SUM($B10:AJ10)+AK10/2</f>
        <v>490867.56017269293</v>
      </c>
      <c r="AL75" s="305">
        <f>SUM($B10:AK10)+AL10/2</f>
        <v>490867.56017269293</v>
      </c>
      <c r="AM75" s="305">
        <f>SUM($B10:AL10)+AM10/2</f>
        <v>490867.56017269293</v>
      </c>
      <c r="AN75" s="305">
        <f>SUM($B10:AM10)+AN10/2</f>
        <v>490867.56017269293</v>
      </c>
      <c r="AO75" s="305">
        <f>SUM($B10:AN10)+AO10/2</f>
        <v>490867.56017269293</v>
      </c>
      <c r="AP75" s="305">
        <f>SUM($B10:AO10)+AP10/2</f>
        <v>490867.56017269293</v>
      </c>
      <c r="AQ75" s="305">
        <f>SUM($B10:AP10)+AQ10/2</f>
        <v>490867.56017269293</v>
      </c>
      <c r="AR75" s="305">
        <f>SUM($B10:AQ10)+AR10/2</f>
        <v>490867.56017269293</v>
      </c>
      <c r="AS75" s="305">
        <f t="shared" si="29"/>
        <v>14195337.191851063</v>
      </c>
      <c r="AT75" s="833"/>
      <c r="AU75" s="834"/>
      <c r="AV75" s="830"/>
      <c r="AW75" s="834"/>
      <c r="AX75" s="834"/>
    </row>
    <row r="76" spans="1:64" s="831" customFormat="1" ht="12.75" x14ac:dyDescent="0.2">
      <c r="A76" s="835" t="s">
        <v>136</v>
      </c>
      <c r="B76" s="838">
        <f t="shared" si="27"/>
        <v>0</v>
      </c>
      <c r="C76" s="838">
        <f t="shared" si="28"/>
        <v>0</v>
      </c>
      <c r="D76" s="838">
        <f>SUM($B11:C11)+D11/2</f>
        <v>0</v>
      </c>
      <c r="E76" s="838">
        <f>SUM($B11:D11)+E11/2</f>
        <v>0</v>
      </c>
      <c r="F76" s="838">
        <f>SUM($B11:E11)+F11/2</f>
        <v>0</v>
      </c>
      <c r="G76" s="838">
        <f>SUM($B11:F11)+G11/2</f>
        <v>0</v>
      </c>
      <c r="H76" s="838">
        <f>SUM($B11:G11)+H11/2</f>
        <v>0</v>
      </c>
      <c r="I76" s="838">
        <f>SUM($B11:H11)+I11/2</f>
        <v>0</v>
      </c>
      <c r="J76" s="838">
        <f>SUM($B11:I11)+J11/2</f>
        <v>0</v>
      </c>
      <c r="K76" s="838">
        <f>SUM($B11:J11)+K11/2</f>
        <v>0</v>
      </c>
      <c r="L76" s="838">
        <f>SUM($B11:K11)+L11/2</f>
        <v>0</v>
      </c>
      <c r="M76" s="838">
        <f>SUM($B11:L11)+M11/2</f>
        <v>0</v>
      </c>
      <c r="N76" s="838">
        <f>SUM($B11:M11)+N11/2</f>
        <v>0</v>
      </c>
      <c r="O76" s="838">
        <f>SUM($B11:N11)+O11/2</f>
        <v>0</v>
      </c>
      <c r="P76" s="838">
        <f>SUM($B11:O11)+P11/2</f>
        <v>0</v>
      </c>
      <c r="Q76" s="838">
        <f>SUM($B11:P11)+Q11/2</f>
        <v>0</v>
      </c>
      <c r="R76" s="838">
        <f>SUM($B11:Q11)+R11/2</f>
        <v>0</v>
      </c>
      <c r="S76" s="838">
        <f>SUM($B11:R11)+S11/2</f>
        <v>0</v>
      </c>
      <c r="T76" s="838">
        <f>SUM($B11:S11)+T11/2</f>
        <v>0</v>
      </c>
      <c r="U76" s="838">
        <f>SUM($B11:T11)+U11/2</f>
        <v>0</v>
      </c>
      <c r="V76" s="838">
        <f>SUM($B11:U11)+V11/2</f>
        <v>0</v>
      </c>
      <c r="W76" s="838">
        <f>SUM($B11:V11)+W11/2</f>
        <v>0</v>
      </c>
      <c r="X76" s="838">
        <f>SUM($B11:W11)+X11/2</f>
        <v>0</v>
      </c>
      <c r="Y76" s="838">
        <f>SUM($B11:X11)+Y11/2</f>
        <v>0</v>
      </c>
      <c r="Z76" s="838">
        <f>SUM($B11:Y11)+Z11/2</f>
        <v>0</v>
      </c>
      <c r="AA76" s="838">
        <f>SUM($B11:Z11)+AA11/2</f>
        <v>0</v>
      </c>
      <c r="AB76" s="305">
        <f>SUM($B11:AA11)+AB11/2</f>
        <v>0</v>
      </c>
      <c r="AC76" s="305">
        <f>SUM($B11:AB11)+AC11/2</f>
        <v>0</v>
      </c>
      <c r="AD76" s="305">
        <f>SUM($B11:AC11)+AD11/2</f>
        <v>0</v>
      </c>
      <c r="AE76" s="305">
        <f>SUM($B11:AD11)+AE11/2</f>
        <v>0</v>
      </c>
      <c r="AF76" s="305">
        <f>SUM($B11:AE11)+AF11/2</f>
        <v>0</v>
      </c>
      <c r="AG76" s="305">
        <f>SUM($B11:AF11)+AG11/2</f>
        <v>0</v>
      </c>
      <c r="AH76" s="305">
        <f>SUM($B11:AG11)+AH11/2</f>
        <v>0</v>
      </c>
      <c r="AI76" s="305">
        <f>SUM($B11:AH11)+AI11/2</f>
        <v>0</v>
      </c>
      <c r="AJ76" s="305">
        <f>SUM($B11:AI11)+AJ11/2</f>
        <v>0</v>
      </c>
      <c r="AK76" s="305">
        <f>SUM($B11:AJ11)+AK11/2</f>
        <v>0</v>
      </c>
      <c r="AL76" s="305">
        <f>SUM($B11:AK11)+AL11/2</f>
        <v>0</v>
      </c>
      <c r="AM76" s="305">
        <f>SUM($B11:AL11)+AM11/2</f>
        <v>0</v>
      </c>
      <c r="AN76" s="305">
        <f>SUM($B11:AM11)+AN11/2</f>
        <v>0</v>
      </c>
      <c r="AO76" s="305">
        <f>SUM($B11:AN11)+AO11/2</f>
        <v>0</v>
      </c>
      <c r="AP76" s="305">
        <f>SUM($B11:AO11)+AP11/2</f>
        <v>0</v>
      </c>
      <c r="AQ76" s="305">
        <f>SUM($B11:AP11)+AQ11/2</f>
        <v>0</v>
      </c>
      <c r="AR76" s="305">
        <f>SUM($B11:AQ11)+AR11/2</f>
        <v>0</v>
      </c>
      <c r="AS76" s="305">
        <f t="shared" si="29"/>
        <v>0</v>
      </c>
      <c r="AT76" s="833"/>
      <c r="AU76" s="834"/>
      <c r="AV76" s="830"/>
      <c r="AW76" s="834"/>
      <c r="AX76" s="834"/>
    </row>
    <row r="77" spans="1:64" s="831" customFormat="1" ht="12.75" x14ac:dyDescent="0.2">
      <c r="A77" s="835" t="s">
        <v>137</v>
      </c>
      <c r="B77" s="838">
        <f t="shared" si="27"/>
        <v>0</v>
      </c>
      <c r="C77" s="838">
        <f t="shared" si="28"/>
        <v>0</v>
      </c>
      <c r="D77" s="838">
        <f>SUM($B12:C12)+D12/2</f>
        <v>0</v>
      </c>
      <c r="E77" s="838">
        <f>SUM($B12:D12)+E12/2</f>
        <v>0</v>
      </c>
      <c r="F77" s="838">
        <f>SUM($B12:E12)+F12/2</f>
        <v>0</v>
      </c>
      <c r="G77" s="838">
        <f>SUM($B12:F12)+G12/2</f>
        <v>0</v>
      </c>
      <c r="H77" s="838">
        <f>SUM($B12:G12)+H12/2</f>
        <v>0</v>
      </c>
      <c r="I77" s="838">
        <f>SUM($B12:H12)+I12/2</f>
        <v>0</v>
      </c>
      <c r="J77" s="838">
        <f>SUM($B12:I12)+J12/2</f>
        <v>0</v>
      </c>
      <c r="K77" s="838">
        <f>SUM($B12:J12)+K12/2</f>
        <v>0</v>
      </c>
      <c r="L77" s="838">
        <f>SUM($B12:K12)+L12/2</f>
        <v>0</v>
      </c>
      <c r="M77" s="838">
        <f>SUM($B12:L12)+M12/2</f>
        <v>0</v>
      </c>
      <c r="N77" s="838">
        <f>SUM($B12:M12)+N12/2</f>
        <v>0</v>
      </c>
      <c r="O77" s="838">
        <f>SUM($B12:N12)+O12/2</f>
        <v>0</v>
      </c>
      <c r="P77" s="838">
        <f>SUM($B12:O12)+P12/2</f>
        <v>1114145</v>
      </c>
      <c r="Q77" s="838">
        <f>SUM($B12:P12)+Q12/2</f>
        <v>3543368</v>
      </c>
      <c r="R77" s="838">
        <f>SUM($B12:Q12)+R12/2</f>
        <v>4977750.5</v>
      </c>
      <c r="S77" s="838">
        <f>SUM($B12:R12)+S12/2</f>
        <v>5097055</v>
      </c>
      <c r="T77" s="838">
        <f>SUM($B12:S12)+T12/2</f>
        <v>5097055</v>
      </c>
      <c r="U77" s="838">
        <f>SUM($B12:T12)+U12/2</f>
        <v>5097055</v>
      </c>
      <c r="V77" s="838">
        <f>SUM($B12:U12)+V12/2</f>
        <v>25230700</v>
      </c>
      <c r="W77" s="838">
        <f>SUM($B12:V12)+W12/2</f>
        <v>45364345</v>
      </c>
      <c r="X77" s="838">
        <f>SUM($B12:W12)+X12/2</f>
        <v>67908933</v>
      </c>
      <c r="Y77" s="838">
        <f>SUM($B12:X12)+Y12/2</f>
        <v>90763228</v>
      </c>
      <c r="Z77" s="838">
        <f>SUM($B12:Y12)+Z12/2</f>
        <v>92015752.560849041</v>
      </c>
      <c r="AA77" s="838">
        <f>SUM($B12:Z12)+AA12/2</f>
        <v>99738941.732371077</v>
      </c>
      <c r="AB77" s="305">
        <f>SUM($B12:AA12)+AB12/2</f>
        <v>163371534.9070251</v>
      </c>
      <c r="AC77" s="305">
        <f>SUM($B12:AB12)+AC12/2</f>
        <v>220796346.86496189</v>
      </c>
      <c r="AD77" s="305">
        <f>SUM($B12:AC12)+AD12/2</f>
        <v>228197943.81735224</v>
      </c>
      <c r="AE77" s="305">
        <f>SUM($B12:AD12)+AE12/2</f>
        <v>241865483.13815138</v>
      </c>
      <c r="AF77" s="305">
        <f>SUM($B12:AE12)+AF12/2</f>
        <v>254075387.83863366</v>
      </c>
      <c r="AG77" s="305">
        <f>SUM($B12:AF12)+AG12/2</f>
        <v>265963406.91319141</v>
      </c>
      <c r="AH77" s="305">
        <f>SUM($B12:AG12)+AH12/2</f>
        <v>286132699.42963141</v>
      </c>
      <c r="AI77" s="305">
        <f>SUM($B12:AH12)+AI12/2</f>
        <v>306240189.66366643</v>
      </c>
      <c r="AJ77" s="305">
        <f>SUM($B12:AI12)+AJ12/2</f>
        <v>320645034.51770139</v>
      </c>
      <c r="AK77" s="305">
        <f>SUM($B12:AJ12)+AK12/2</f>
        <v>338499053.45457637</v>
      </c>
      <c r="AL77" s="305">
        <f>SUM($B12:AK12)+AL12/2</f>
        <v>355105813.43495136</v>
      </c>
      <c r="AM77" s="305">
        <f>SUM($B12:AL12)+AM12/2</f>
        <v>363043310.35795134</v>
      </c>
      <c r="AN77" s="305">
        <f>SUM($B12:AM12)+AN12/2</f>
        <v>364278066.23745137</v>
      </c>
      <c r="AO77" s="305">
        <f>SUM($B12:AN12)+AO12/2</f>
        <v>364278066.23745137</v>
      </c>
      <c r="AP77" s="305">
        <f>SUM($B12:AO12)+AP12/2</f>
        <v>364278066.23745137</v>
      </c>
      <c r="AQ77" s="305">
        <f>SUM($B12:AP12)+AQ12/2</f>
        <v>364278066.23745137</v>
      </c>
      <c r="AR77" s="305">
        <f>SUM($B12:AQ12)+AR12/2</f>
        <v>364278066.23745137</v>
      </c>
      <c r="AS77" s="305">
        <f t="shared" si="29"/>
        <v>5611274864.3182716</v>
      </c>
      <c r="AT77" s="833"/>
      <c r="AU77" s="834"/>
      <c r="AV77" s="830"/>
      <c r="AW77" s="834"/>
      <c r="AX77" s="834"/>
    </row>
    <row r="78" spans="1:64" s="831" customFormat="1" ht="12.75" x14ac:dyDescent="0.2">
      <c r="A78" s="835" t="s">
        <v>138</v>
      </c>
      <c r="B78" s="838">
        <f t="shared" si="27"/>
        <v>0</v>
      </c>
      <c r="C78" s="838">
        <f t="shared" si="28"/>
        <v>0</v>
      </c>
      <c r="D78" s="838">
        <f>SUM($B13:C13)+D13/2</f>
        <v>0</v>
      </c>
      <c r="E78" s="838">
        <f>SUM($B13:D13)+E13/2</f>
        <v>0</v>
      </c>
      <c r="F78" s="838">
        <f>SUM($B13:E13)+F13/2</f>
        <v>0</v>
      </c>
      <c r="G78" s="838">
        <f>SUM($B13:F13)+G13/2</f>
        <v>0</v>
      </c>
      <c r="H78" s="838">
        <f>SUM($B13:G13)+H13/2</f>
        <v>0</v>
      </c>
      <c r="I78" s="838">
        <f>SUM($B13:H13)+I13/2</f>
        <v>0</v>
      </c>
      <c r="J78" s="838">
        <f>SUM($B13:I13)+J13/2</f>
        <v>0</v>
      </c>
      <c r="K78" s="838">
        <f>SUM($B13:J13)+K13/2</f>
        <v>0</v>
      </c>
      <c r="L78" s="838">
        <f>SUM($B13:K13)+L13/2</f>
        <v>0</v>
      </c>
      <c r="M78" s="838">
        <f>SUM($B13:L13)+M13/2</f>
        <v>0</v>
      </c>
      <c r="N78" s="838">
        <f>SUM($B13:M13)+N13/2</f>
        <v>0</v>
      </c>
      <c r="O78" s="838">
        <f>SUM($B13:N13)+O13/2</f>
        <v>0</v>
      </c>
      <c r="P78" s="838">
        <f>SUM($B13:O13)+P13/2</f>
        <v>0</v>
      </c>
      <c r="Q78" s="838">
        <f>SUM($B13:P13)+Q13/2</f>
        <v>719745</v>
      </c>
      <c r="R78" s="838">
        <f>SUM($B13:Q13)+R13/2</f>
        <v>13843630.5</v>
      </c>
      <c r="S78" s="838">
        <f>SUM($B13:R13)+S13/2</f>
        <v>29749030.5</v>
      </c>
      <c r="T78" s="838">
        <f>SUM($B13:S13)+T13/2</f>
        <v>37615859.5</v>
      </c>
      <c r="U78" s="838">
        <f>SUM($B13:T13)+U13/2</f>
        <v>44714615</v>
      </c>
      <c r="V78" s="838">
        <f>SUM($B13:U13)+V13/2</f>
        <v>48569092</v>
      </c>
      <c r="W78" s="838">
        <f>SUM($B13:V13)+W13/2</f>
        <v>51852362.5</v>
      </c>
      <c r="X78" s="838">
        <f>SUM($B13:W13)+X13/2</f>
        <v>56941053</v>
      </c>
      <c r="Y78" s="838">
        <f>SUM($B13:X13)+Y13/2</f>
        <v>64207737</v>
      </c>
      <c r="Z78" s="838">
        <f>SUM($B13:Y13)+Z13/2</f>
        <v>73622642.143403634</v>
      </c>
      <c r="AA78" s="838">
        <f>SUM($B13:Z13)+AA13/2</f>
        <v>83930626.354895309</v>
      </c>
      <c r="AB78" s="305">
        <f>SUM($B13:AA13)+AB13/2</f>
        <v>97194819.496982098</v>
      </c>
      <c r="AC78" s="305">
        <f>SUM($B13:AB13)+AC13/2</f>
        <v>115395098.4471193</v>
      </c>
      <c r="AD78" s="305">
        <f>SUM($B13:AC13)+AD13/2</f>
        <v>137485681.95975861</v>
      </c>
      <c r="AE78" s="305">
        <f>SUM($B13:AD13)+AE13/2</f>
        <v>156341038.8741183</v>
      </c>
      <c r="AF78" s="305">
        <f>SUM($B13:AE13)+AF13/2</f>
        <v>169562476.60630944</v>
      </c>
      <c r="AG78" s="305">
        <f>SUM($B13:AF13)+AG13/2</f>
        <v>183075112.03529397</v>
      </c>
      <c r="AH78" s="305">
        <f>SUM($B13:AG13)+AH13/2</f>
        <v>197376137.18550515</v>
      </c>
      <c r="AI78" s="305">
        <f>SUM($B13:AH13)+AI13/2</f>
        <v>211783048.50522408</v>
      </c>
      <c r="AJ78" s="305">
        <f>SUM($B13:AI13)+AJ13/2</f>
        <v>223689043.64938399</v>
      </c>
      <c r="AK78" s="305">
        <f>SUM($B13:AJ13)+AK13/2</f>
        <v>228526118.660099</v>
      </c>
      <c r="AL78" s="305">
        <f>SUM($B13:AK13)+AL13/2</f>
        <v>228788193.67081398</v>
      </c>
      <c r="AM78" s="305">
        <f>SUM($B13:AL13)+AM13/2</f>
        <v>228788193.67081398</v>
      </c>
      <c r="AN78" s="305">
        <f>SUM($B13:AM13)+AN13/2</f>
        <v>228788193.67081398</v>
      </c>
      <c r="AO78" s="305">
        <f>SUM($B13:AN13)+AO13/2</f>
        <v>228788193.67081398</v>
      </c>
      <c r="AP78" s="305">
        <f>SUM($B13:AO13)+AP13/2</f>
        <v>228788193.67081398</v>
      </c>
      <c r="AQ78" s="305">
        <f>SUM($B13:AP13)+AQ13/2</f>
        <v>228788193.67081398</v>
      </c>
      <c r="AR78" s="305">
        <f>SUM($B13:AQ13)+AR13/2</f>
        <v>228788193.67081398</v>
      </c>
      <c r="AS78" s="305">
        <f t="shared" si="29"/>
        <v>3827712324.613791</v>
      </c>
      <c r="AT78" s="833"/>
      <c r="AU78" s="834"/>
      <c r="AV78" s="830"/>
      <c r="AW78" s="834"/>
      <c r="AX78" s="834"/>
    </row>
    <row r="79" spans="1:64" s="831" customFormat="1" ht="12.75" x14ac:dyDescent="0.2">
      <c r="A79" s="835" t="s">
        <v>139</v>
      </c>
      <c r="B79" s="838">
        <f t="shared" si="27"/>
        <v>0</v>
      </c>
      <c r="C79" s="838">
        <f t="shared" si="28"/>
        <v>0</v>
      </c>
      <c r="D79" s="838">
        <f>SUM($B14:C14)+D14/2</f>
        <v>0</v>
      </c>
      <c r="E79" s="838">
        <f>SUM($B14:D14)+E14/2</f>
        <v>0</v>
      </c>
      <c r="F79" s="838">
        <f>SUM($B14:E14)+F14/2</f>
        <v>0</v>
      </c>
      <c r="G79" s="838">
        <f>SUM($B14:F14)+G14/2</f>
        <v>0</v>
      </c>
      <c r="H79" s="838">
        <f>SUM($B14:G14)+H14/2</f>
        <v>0</v>
      </c>
      <c r="I79" s="838">
        <f>SUM($B14:H14)+I14/2</f>
        <v>0</v>
      </c>
      <c r="J79" s="838">
        <f>SUM($B14:I14)+J14/2</f>
        <v>0</v>
      </c>
      <c r="K79" s="838">
        <f>SUM($B14:J14)+K14/2</f>
        <v>0</v>
      </c>
      <c r="L79" s="838">
        <f>SUM($B14:K14)+L14/2</f>
        <v>9012174.3119266052</v>
      </c>
      <c r="M79" s="838">
        <f>SUM($B14:L14)+M14/2</f>
        <v>30663187.263896383</v>
      </c>
      <c r="N79" s="838">
        <f>SUM($B14:M14)+N14/2</f>
        <v>60876528.332433894</v>
      </c>
      <c r="O79" s="838">
        <f>SUM($B14:N14)+O14/2</f>
        <v>100034716.13599569</v>
      </c>
      <c r="P79" s="838">
        <f>SUM($B14:O14)+P14/2</f>
        <v>143828401.01106316</v>
      </c>
      <c r="Q79" s="838">
        <f>SUM($B14:P14)+Q14/2</f>
        <v>191596113.01106316</v>
      </c>
      <c r="R79" s="838">
        <f>SUM($B14:Q14)+R14/2</f>
        <v>231532648.51106316</v>
      </c>
      <c r="S79" s="838">
        <f>SUM($B14:R14)+S14/2</f>
        <v>259639761.01106316</v>
      </c>
      <c r="T79" s="838">
        <f>SUM($B14:S14)+T14/2</f>
        <v>297728574.01106316</v>
      </c>
      <c r="U79" s="838">
        <f>SUM($B14:T14)+U14/2</f>
        <v>347451099.01106316</v>
      </c>
      <c r="V79" s="838">
        <f>SUM($B14:U14)+V14/2</f>
        <v>399106824.51106316</v>
      </c>
      <c r="W79" s="838">
        <f>SUM($B14:V14)+W14/2</f>
        <v>459543879.01106316</v>
      </c>
      <c r="X79" s="838">
        <f>SUM($B14:W14)+X14/2</f>
        <v>516975704.51106316</v>
      </c>
      <c r="Y79" s="838">
        <f>SUM($B14:X14)+Y14/2</f>
        <v>557929046.5110631</v>
      </c>
      <c r="Z79" s="838">
        <f>SUM($B14:Y14)+Z14/2</f>
        <v>606177718.76884687</v>
      </c>
      <c r="AA79" s="838">
        <f>SUM($B14:Z14)+AA14/2</f>
        <v>663417495.006778</v>
      </c>
      <c r="AB79" s="305">
        <f>SUM($B14:AA14)+AB14/2</f>
        <v>693391526.45129645</v>
      </c>
      <c r="AC79" s="305">
        <f>SUM($B14:AB14)+AC14/2</f>
        <v>705422180.24661541</v>
      </c>
      <c r="AD79" s="305">
        <f>SUM($B14:AC14)+AD14/2</f>
        <v>721816415.70739377</v>
      </c>
      <c r="AE79" s="305">
        <f>SUM($B14:AD14)+AE14/2</f>
        <v>736463458.06154442</v>
      </c>
      <c r="AF79" s="305">
        <f>SUM($B14:AE14)+AF14/2</f>
        <v>753642820.84239745</v>
      </c>
      <c r="AG79" s="305">
        <f>SUM($B14:AF14)+AG14/2</f>
        <v>771734604.21486628</v>
      </c>
      <c r="AH79" s="305">
        <f>SUM($B14:AG14)+AH14/2</f>
        <v>787063665.31914222</v>
      </c>
      <c r="AI79" s="305">
        <f>SUM($B14:AH14)+AI14/2</f>
        <v>801598066.19325197</v>
      </c>
      <c r="AJ79" s="305">
        <f>SUM($B14:AI14)+AJ14/2</f>
        <v>814456206.77902174</v>
      </c>
      <c r="AK79" s="305">
        <f>SUM($B14:AJ14)+AK14/2</f>
        <v>825795059.11426926</v>
      </c>
      <c r="AL79" s="305">
        <f>SUM($B14:AK14)+AL14/2</f>
        <v>836830350.27407682</v>
      </c>
      <c r="AM79" s="305">
        <f>SUM($B14:AL14)+AM14/2</f>
        <v>848549150.22200012</v>
      </c>
      <c r="AN79" s="305">
        <f>SUM($B14:AM14)+AN14/2</f>
        <v>859188077.09606838</v>
      </c>
      <c r="AO79" s="305">
        <f>SUM($B14:AN14)+AO14/2</f>
        <v>868951793.82652342</v>
      </c>
      <c r="AP79" s="305">
        <f>SUM($B14:AO14)+AP14/2</f>
        <v>877528463.0232234</v>
      </c>
      <c r="AQ79" s="305">
        <f>SUM($B14:AP14)+AQ14/2</f>
        <v>883811670.26445889</v>
      </c>
      <c r="AR79" s="305">
        <f>SUM($B14:AQ14)+AR14/2</f>
        <v>896020609.78405941</v>
      </c>
      <c r="AS79" s="305">
        <f t="shared" si="29"/>
        <v>18557777988.350716</v>
      </c>
      <c r="AT79" s="833"/>
      <c r="AU79" s="834"/>
      <c r="AV79" s="830"/>
      <c r="AW79" s="834"/>
      <c r="AX79" s="834"/>
    </row>
    <row r="80" spans="1:64" s="831" customFormat="1" ht="12.75" x14ac:dyDescent="0.2">
      <c r="A80" s="835" t="s">
        <v>140</v>
      </c>
      <c r="B80" s="838">
        <f t="shared" si="27"/>
        <v>0</v>
      </c>
      <c r="C80" s="838">
        <f t="shared" si="28"/>
        <v>0</v>
      </c>
      <c r="D80" s="838">
        <f>SUM($B15:C15)+D15/2</f>
        <v>0</v>
      </c>
      <c r="E80" s="838">
        <f>SUM($B15:D15)+E15/2</f>
        <v>0</v>
      </c>
      <c r="F80" s="838">
        <f>SUM($B15:E15)+F15/2</f>
        <v>0</v>
      </c>
      <c r="G80" s="838">
        <f>SUM($B15:F15)+G15/2</f>
        <v>0</v>
      </c>
      <c r="H80" s="838">
        <f>SUM($B15:G15)+H15/2</f>
        <v>0</v>
      </c>
      <c r="I80" s="838">
        <f>SUM($B15:H15)+I15/2</f>
        <v>0</v>
      </c>
      <c r="J80" s="838">
        <f>SUM($B15:I15)+J15/2</f>
        <v>0</v>
      </c>
      <c r="K80" s="838">
        <f>SUM($B15:J15)+K15/2</f>
        <v>0</v>
      </c>
      <c r="L80" s="838">
        <f>SUM($B15:K15)+L15/2</f>
        <v>0</v>
      </c>
      <c r="M80" s="838">
        <f>SUM($B15:L15)+M15/2</f>
        <v>0</v>
      </c>
      <c r="N80" s="838">
        <f>SUM($B15:M15)+N15/2</f>
        <v>0</v>
      </c>
      <c r="O80" s="838">
        <f>SUM($B15:N15)+O15/2</f>
        <v>0</v>
      </c>
      <c r="P80" s="838">
        <f>SUM($B15:O15)+P15/2</f>
        <v>0</v>
      </c>
      <c r="Q80" s="838">
        <f>SUM($B15:P15)+Q15/2</f>
        <v>0</v>
      </c>
      <c r="R80" s="838">
        <f>SUM($B15:Q15)+R15/2</f>
        <v>0</v>
      </c>
      <c r="S80" s="838">
        <f>SUM($B15:R15)+S15/2</f>
        <v>0</v>
      </c>
      <c r="T80" s="838">
        <f>SUM($B15:S15)+T15/2</f>
        <v>0</v>
      </c>
      <c r="U80" s="838">
        <f>SUM($B15:T15)+U15/2</f>
        <v>0</v>
      </c>
      <c r="V80" s="838">
        <f>SUM($B15:U15)+V15/2</f>
        <v>0</v>
      </c>
      <c r="W80" s="838">
        <f>SUM($B15:V15)+W15/2</f>
        <v>0</v>
      </c>
      <c r="X80" s="838">
        <f>SUM($B15:W15)+X15/2</f>
        <v>0</v>
      </c>
      <c r="Y80" s="838">
        <f>SUM($B15:X15)+Y15/2</f>
        <v>0</v>
      </c>
      <c r="Z80" s="838">
        <f>SUM($B15:Y15)+Z15/2</f>
        <v>0</v>
      </c>
      <c r="AA80" s="838">
        <f>SUM($B15:Z15)+AA15/2</f>
        <v>0</v>
      </c>
      <c r="AB80" s="305">
        <f>SUM($B15:AA15)+AB15/2</f>
        <v>388414.82683523127</v>
      </c>
      <c r="AC80" s="305">
        <f>SUM($B15:AB15)+AC15/2</f>
        <v>1088198.7417681485</v>
      </c>
      <c r="AD80" s="305">
        <f>SUM($B15:AC15)+AD15/2</f>
        <v>1678504.4771816665</v>
      </c>
      <c r="AE80" s="305">
        <f>SUM($B15:AD15)+AE15/2</f>
        <v>2015153.5794106273</v>
      </c>
      <c r="AF80" s="305">
        <f>SUM($B15:AE15)+AF15/2</f>
        <v>2087661.0574022685</v>
      </c>
      <c r="AG80" s="305">
        <f>SUM($B15:AF15)+AG15/2</f>
        <v>2154589.0606900463</v>
      </c>
      <c r="AH80" s="305">
        <f>SUM($B15:AG15)+AH15/2</f>
        <v>2285130.9967993121</v>
      </c>
      <c r="AI80" s="305">
        <f>SUM($B15:AH15)+AI15/2</f>
        <v>2384316.684789062</v>
      </c>
      <c r="AJ80" s="305">
        <f>SUM($B15:AI15)+AJ15/2</f>
        <v>2420093.416878812</v>
      </c>
      <c r="AK80" s="305">
        <f>SUM($B15:AJ15)+AK15/2</f>
        <v>2435093.416878812</v>
      </c>
      <c r="AL80" s="305">
        <f>SUM($B15:AK15)+AL15/2</f>
        <v>2435093.416878812</v>
      </c>
      <c r="AM80" s="305">
        <f>SUM($B15:AL15)+AM15/2</f>
        <v>2435093.416878812</v>
      </c>
      <c r="AN80" s="305">
        <f>SUM($B15:AM15)+AN15/2</f>
        <v>2435093.416878812</v>
      </c>
      <c r="AO80" s="305">
        <f>SUM($B15:AN15)+AO15/2</f>
        <v>2435093.416878812</v>
      </c>
      <c r="AP80" s="305">
        <f>SUM($B15:AO15)+AP15/2</f>
        <v>2435093.416878812</v>
      </c>
      <c r="AQ80" s="305">
        <f>SUM($B15:AP15)+AQ15/2</f>
        <v>2435093.416878812</v>
      </c>
      <c r="AR80" s="305">
        <f>SUM($B15:AQ15)+AR15/2</f>
        <v>2435093.416878812</v>
      </c>
      <c r="AS80" s="305">
        <f t="shared" si="29"/>
        <v>35982810.17678567</v>
      </c>
      <c r="AT80" s="833"/>
      <c r="AU80" s="834"/>
      <c r="AV80" s="830"/>
      <c r="AW80" s="834"/>
      <c r="AX80" s="834"/>
    </row>
    <row r="81" spans="1:50" s="831" customFormat="1" ht="12.75" x14ac:dyDescent="0.2">
      <c r="A81" s="835" t="s">
        <v>141</v>
      </c>
      <c r="B81" s="838">
        <f t="shared" si="27"/>
        <v>0</v>
      </c>
      <c r="C81" s="838">
        <f t="shared" si="28"/>
        <v>0</v>
      </c>
      <c r="D81" s="838">
        <f>SUM($B16:C16)+D16/2</f>
        <v>0</v>
      </c>
      <c r="E81" s="838">
        <f>SUM($B16:D16)+E16/2</f>
        <v>0</v>
      </c>
      <c r="F81" s="838">
        <f>SUM($B16:E16)+F16/2</f>
        <v>0</v>
      </c>
      <c r="G81" s="838">
        <f>SUM($B16:F16)+G16/2</f>
        <v>0</v>
      </c>
      <c r="H81" s="838">
        <f>SUM($B16:G16)+H16/2</f>
        <v>0</v>
      </c>
      <c r="I81" s="838">
        <f>SUM($B16:H16)+I16/2</f>
        <v>0</v>
      </c>
      <c r="J81" s="838">
        <f>SUM($B16:I16)+J16/2</f>
        <v>0</v>
      </c>
      <c r="K81" s="838">
        <f>SUM($B16:J16)+K16/2</f>
        <v>0</v>
      </c>
      <c r="L81" s="838">
        <f>SUM($B16:K16)+L16/2</f>
        <v>0</v>
      </c>
      <c r="M81" s="838">
        <f>SUM($B16:L16)+M16/2</f>
        <v>0</v>
      </c>
      <c r="N81" s="838">
        <f>SUM($B16:M16)+N16/2</f>
        <v>0</v>
      </c>
      <c r="O81" s="838">
        <f>SUM($B16:N16)+O16/2</f>
        <v>0</v>
      </c>
      <c r="P81" s="838">
        <f>SUM($B16:O16)+P16/2</f>
        <v>0</v>
      </c>
      <c r="Q81" s="838">
        <f>SUM($B16:P16)+Q16/2</f>
        <v>0</v>
      </c>
      <c r="R81" s="838">
        <f>SUM($B16:Q16)+R16/2</f>
        <v>0</v>
      </c>
      <c r="S81" s="838">
        <f>SUM($B16:R16)+S16/2</f>
        <v>0</v>
      </c>
      <c r="T81" s="838">
        <f>SUM($B16:S16)+T16/2</f>
        <v>0</v>
      </c>
      <c r="U81" s="838">
        <f>SUM($B16:T16)+U16/2</f>
        <v>0</v>
      </c>
      <c r="V81" s="838">
        <f>SUM($B16:U16)+V16/2</f>
        <v>0</v>
      </c>
      <c r="W81" s="838">
        <f>SUM($B16:V16)+W16/2</f>
        <v>0</v>
      </c>
      <c r="X81" s="838">
        <f>SUM($B16:W16)+X16/2</f>
        <v>0</v>
      </c>
      <c r="Y81" s="838">
        <f>SUM($B16:X16)+Y16/2</f>
        <v>0</v>
      </c>
      <c r="Z81" s="838">
        <f>SUM($B16:Y16)+Z16/2</f>
        <v>0</v>
      </c>
      <c r="AA81" s="838">
        <f>SUM($B16:Z16)+AA16/2</f>
        <v>0</v>
      </c>
      <c r="AB81" s="305">
        <f>SUM($B16:AA16)+AB16/2</f>
        <v>158635.82507539855</v>
      </c>
      <c r="AC81" s="305">
        <f>SUM($B16:AB16)+AC16/2</f>
        <v>2026648.3366051954</v>
      </c>
      <c r="AD81" s="305">
        <f>SUM($B16:AC16)+AD16/2</f>
        <v>4022782.8985568518</v>
      </c>
      <c r="AE81" s="305">
        <f>SUM($B16:AD16)+AE16/2</f>
        <v>4414609.7114502126</v>
      </c>
      <c r="AF81" s="305">
        <f>SUM($B16:AE16)+AF16/2</f>
        <v>4889242.1876313146</v>
      </c>
      <c r="AG81" s="305">
        <f>SUM($B16:AF16)+AG16/2</f>
        <v>5415337.293737961</v>
      </c>
      <c r="AH81" s="305">
        <f>SUM($B16:AG16)+AH16/2</f>
        <v>5742687.3476896081</v>
      </c>
      <c r="AI81" s="305">
        <f>SUM($B16:AH16)+AI16/2</f>
        <v>8206769.7181877084</v>
      </c>
      <c r="AJ81" s="305">
        <f>SUM($B16:AI16)+AJ16/2</f>
        <v>10715033.602055809</v>
      </c>
      <c r="AK81" s="305">
        <f>SUM($B16:AJ16)+AK16/2</f>
        <v>10930033.602055809</v>
      </c>
      <c r="AL81" s="305">
        <f>SUM($B16:AK16)+AL16/2</f>
        <v>10930033.602055809</v>
      </c>
      <c r="AM81" s="305">
        <f>SUM($B16:AL16)+AM16/2</f>
        <v>10930033.602055809</v>
      </c>
      <c r="AN81" s="305">
        <f>SUM($B16:AM16)+AN16/2</f>
        <v>10930033.602055809</v>
      </c>
      <c r="AO81" s="305">
        <f>SUM($B16:AN16)+AO16/2</f>
        <v>10930033.602055809</v>
      </c>
      <c r="AP81" s="305">
        <f>SUM($B16:AO16)+AP16/2</f>
        <v>10930033.602055809</v>
      </c>
      <c r="AQ81" s="305">
        <f>SUM($B16:AP16)+AQ16/2</f>
        <v>10930033.602055809</v>
      </c>
      <c r="AR81" s="305">
        <f>SUM($B16:AQ16)+AR16/2</f>
        <v>10930033.602055809</v>
      </c>
      <c r="AS81" s="305">
        <f t="shared" si="29"/>
        <v>133032015.73743649</v>
      </c>
      <c r="AT81" s="833"/>
      <c r="AU81" s="834"/>
      <c r="AV81" s="830"/>
      <c r="AW81" s="834"/>
      <c r="AX81" s="834"/>
    </row>
    <row r="82" spans="1:50" s="831" customFormat="1" ht="12.75" x14ac:dyDescent="0.2">
      <c r="A82" s="835" t="s">
        <v>142</v>
      </c>
      <c r="B82" s="838">
        <f t="shared" si="27"/>
        <v>0</v>
      </c>
      <c r="C82" s="838">
        <f t="shared" si="28"/>
        <v>0</v>
      </c>
      <c r="D82" s="838">
        <f>SUM($B17:C17)+D17/2</f>
        <v>0</v>
      </c>
      <c r="E82" s="838">
        <f>SUM($B17:D17)+E17/2</f>
        <v>0</v>
      </c>
      <c r="F82" s="838">
        <f>SUM($B17:E17)+F17/2</f>
        <v>0</v>
      </c>
      <c r="G82" s="838">
        <f>SUM($B17:F17)+G17/2</f>
        <v>0</v>
      </c>
      <c r="H82" s="838">
        <f>SUM($B17:G17)+H17/2</f>
        <v>0</v>
      </c>
      <c r="I82" s="838">
        <f>SUM($B17:H17)+I17/2</f>
        <v>0</v>
      </c>
      <c r="J82" s="838">
        <f>SUM($B17:I17)+J17/2</f>
        <v>0</v>
      </c>
      <c r="K82" s="838">
        <f>SUM($B17:J17)+K17/2</f>
        <v>0</v>
      </c>
      <c r="L82" s="838">
        <f>SUM($B17:K17)+L17/2</f>
        <v>0</v>
      </c>
      <c r="M82" s="838">
        <f>SUM($B17:L17)+M17/2</f>
        <v>0</v>
      </c>
      <c r="N82" s="838">
        <f>SUM($B17:M17)+N17/2</f>
        <v>0</v>
      </c>
      <c r="O82" s="838">
        <f>SUM($B17:N17)+O17/2</f>
        <v>0</v>
      </c>
      <c r="P82" s="838">
        <f>SUM($B17:O17)+P17/2</f>
        <v>0</v>
      </c>
      <c r="Q82" s="838">
        <f>SUM($B17:P17)+Q17/2</f>
        <v>0</v>
      </c>
      <c r="R82" s="838">
        <f>SUM($B17:Q17)+R17/2</f>
        <v>0</v>
      </c>
      <c r="S82" s="838">
        <f>SUM($B17:R17)+S17/2</f>
        <v>0</v>
      </c>
      <c r="T82" s="838">
        <f>SUM($B17:S17)+T17/2</f>
        <v>0</v>
      </c>
      <c r="U82" s="838">
        <f>SUM($B17:T17)+U17/2</f>
        <v>0</v>
      </c>
      <c r="V82" s="838">
        <f>SUM($B17:U17)+V17/2</f>
        <v>0</v>
      </c>
      <c r="W82" s="838">
        <f>SUM($B17:V17)+W17/2</f>
        <v>0</v>
      </c>
      <c r="X82" s="838">
        <f>SUM($B17:W17)+X17/2</f>
        <v>0</v>
      </c>
      <c r="Y82" s="838">
        <f>SUM($B17:X17)+Y17/2</f>
        <v>0</v>
      </c>
      <c r="Z82" s="838">
        <f>SUM($B17:Y17)+Z17/2</f>
        <v>0</v>
      </c>
      <c r="AA82" s="838">
        <f>SUM($B17:Z17)+AA17/2</f>
        <v>0</v>
      </c>
      <c r="AB82" s="305">
        <f>SUM($B17:AA17)+AB17/2</f>
        <v>0</v>
      </c>
      <c r="AC82" s="305">
        <f>SUM($B17:AB17)+AC17/2</f>
        <v>0</v>
      </c>
      <c r="AD82" s="305">
        <f>SUM($B17:AC17)+AD17/2</f>
        <v>0</v>
      </c>
      <c r="AE82" s="305">
        <f>SUM($B17:AD17)+AE17/2</f>
        <v>0</v>
      </c>
      <c r="AF82" s="305">
        <f>SUM($B17:AE17)+AF17/2</f>
        <v>528745.11173184356</v>
      </c>
      <c r="AG82" s="305">
        <f>SUM($B17:AF17)+AG17/2</f>
        <v>2227406.8173045553</v>
      </c>
      <c r="AH82" s="305">
        <f>SUM($B17:AG17)+AH17/2</f>
        <v>5327955.7616239367</v>
      </c>
      <c r="AI82" s="305">
        <f>SUM($B17:AH17)+AI17/2</f>
        <v>8662944.1805447377</v>
      </c>
      <c r="AJ82" s="305">
        <f>SUM($B17:AI17)+AJ17/2</f>
        <v>11522300.248987027</v>
      </c>
      <c r="AK82" s="305">
        <f>SUM($B17:AJ17)+AK17/2</f>
        <v>12977300.248987027</v>
      </c>
      <c r="AL82" s="305">
        <f>SUM($B17:AK17)+AL17/2</f>
        <v>12977300.248987027</v>
      </c>
      <c r="AM82" s="305">
        <f>SUM($B17:AL17)+AM17/2</f>
        <v>12977300.248987027</v>
      </c>
      <c r="AN82" s="305">
        <f>SUM($B17:AM17)+AN17/2</f>
        <v>12977300.248987027</v>
      </c>
      <c r="AO82" s="305">
        <f>SUM($B17:AN17)+AO17/2</f>
        <v>12977300.248987027</v>
      </c>
      <c r="AP82" s="305">
        <f>SUM($B17:AO17)+AP17/2</f>
        <v>12977300.248987027</v>
      </c>
      <c r="AQ82" s="305">
        <f>SUM($B17:AP17)+AQ17/2</f>
        <v>12977300.248987027</v>
      </c>
      <c r="AR82" s="305">
        <f>SUM($B17:AQ17)+AR17/2</f>
        <v>12977300.248987027</v>
      </c>
      <c r="AS82" s="305">
        <f t="shared" si="29"/>
        <v>132087754.11208829</v>
      </c>
      <c r="AT82" s="833"/>
      <c r="AU82" s="834"/>
      <c r="AV82" s="830"/>
      <c r="AW82" s="834"/>
      <c r="AX82" s="834"/>
    </row>
    <row r="83" spans="1:50" s="831" customFormat="1" ht="12.75" x14ac:dyDescent="0.2">
      <c r="A83" s="835" t="s">
        <v>192</v>
      </c>
      <c r="B83" s="838">
        <f t="shared" si="27"/>
        <v>0</v>
      </c>
      <c r="C83" s="838">
        <f t="shared" si="28"/>
        <v>0</v>
      </c>
      <c r="D83" s="838">
        <f>SUM($B18:C18)+D18/2</f>
        <v>0</v>
      </c>
      <c r="E83" s="838">
        <f>SUM($B18:D18)+E18/2</f>
        <v>1834862.3853211009</v>
      </c>
      <c r="F83" s="838">
        <f>SUM($B18:E18)+F18/2</f>
        <v>13707501.349163519</v>
      </c>
      <c r="G83" s="838">
        <f>SUM($B18:F18)+G18/2</f>
        <v>27253103.076092824</v>
      </c>
      <c r="H83" s="838">
        <f>SUM($B18:G18)+H18/2</f>
        <v>33513221.80248246</v>
      </c>
      <c r="I83" s="838">
        <f>SUM($B18:H18)+I18/2</f>
        <v>37776578.521316789</v>
      </c>
      <c r="J83" s="838">
        <f>SUM($B18:I18)+J18/2</f>
        <v>41446303.291958988</v>
      </c>
      <c r="K83" s="838">
        <f>SUM($B18:J18)+K18/2</f>
        <v>50566648.677819759</v>
      </c>
      <c r="L83" s="838">
        <f>SUM($B18:K18)+L18/2</f>
        <v>69951192.120885059</v>
      </c>
      <c r="M83" s="838">
        <f>SUM($B18:L18)+M18/2</f>
        <v>100145108.47274691</v>
      </c>
      <c r="N83" s="838">
        <f>SUM($B18:M18)+N18/2</f>
        <v>159195175.93092284</v>
      </c>
      <c r="O83" s="838">
        <f>SUM($B18:N18)+O18/2</f>
        <v>277917913.11386943</v>
      </c>
      <c r="P83" s="838">
        <f>SUM($B18:O18)+P18/2</f>
        <v>465614857.50350785</v>
      </c>
      <c r="Q83" s="838">
        <f>SUM($B18:P18)+Q18/2</f>
        <v>757224842.00350785</v>
      </c>
      <c r="R83" s="838">
        <f>SUM($B18:Q18)+R18/2</f>
        <v>1005802227.0035079</v>
      </c>
      <c r="S83" s="838">
        <f>SUM($B18:R18)+S18/2</f>
        <v>1125541842.0035079</v>
      </c>
      <c r="T83" s="838">
        <f>SUM($B18:S18)+T18/2</f>
        <v>1219455077.5035079</v>
      </c>
      <c r="U83" s="838">
        <f>SUM($B18:T18)+U18/2</f>
        <v>1295485676.5035079</v>
      </c>
      <c r="V83" s="838">
        <f>SUM($B18:U18)+V18/2</f>
        <v>1385759278.0035079</v>
      </c>
      <c r="W83" s="838">
        <f>SUM($B18:V18)+W18/2</f>
        <v>1488379384.5035079</v>
      </c>
      <c r="X83" s="838">
        <f>SUM($B18:W18)+X18/2</f>
        <v>1595076244.0035079</v>
      </c>
      <c r="Y83" s="838">
        <f>SUM($B18:X18)+Y18/2</f>
        <v>1692274670.0035079</v>
      </c>
      <c r="Z83" s="838">
        <f>SUM($B18:Y18)+Z18/2</f>
        <v>1779687703.6471744</v>
      </c>
      <c r="AA83" s="838">
        <f>SUM($B18:Z18)+AA18/2</f>
        <v>1883511165.1252515</v>
      </c>
      <c r="AB83" s="305">
        <f>SUM($B18:AA18)+AB18/2</f>
        <v>2019602543.6702425</v>
      </c>
      <c r="AC83" s="305">
        <f>SUM($B18:AB18)+AC18/2</f>
        <v>2132155740.9257212</v>
      </c>
      <c r="AD83" s="305">
        <f>SUM($B18:AC18)+AD18/2</f>
        <v>2197344064.6385951</v>
      </c>
      <c r="AE83" s="305">
        <f>SUM($B18:AD18)+AE18/2</f>
        <v>2263540847.124114</v>
      </c>
      <c r="AF83" s="305">
        <f>SUM($B18:AE18)+AF18/2</f>
        <v>2327343226.4530048</v>
      </c>
      <c r="AG83" s="305">
        <f>SUM($B18:AF18)+AG18/2</f>
        <v>2394739129.1606636</v>
      </c>
      <c r="AH83" s="305">
        <f>SUM($B18:AG18)+AH18/2</f>
        <v>2467429251.8191161</v>
      </c>
      <c r="AI83" s="305">
        <f>SUM($B18:AH18)+AI18/2</f>
        <v>2534646737.2042046</v>
      </c>
      <c r="AJ83" s="305">
        <f>SUM($B18:AI18)+AJ18/2</f>
        <v>2629467760.1271524</v>
      </c>
      <c r="AK83" s="305">
        <f>SUM($B18:AJ18)+AK18/2</f>
        <v>2714812831.5323153</v>
      </c>
      <c r="AL83" s="305">
        <f>SUM($B18:AK18)+AL18/2</f>
        <v>2758571591.2153888</v>
      </c>
      <c r="AM83" s="305">
        <f>SUM($B18:AL18)+AM18/2</f>
        <v>2813845748.4994369</v>
      </c>
      <c r="AN83" s="305">
        <f>SUM($B18:AM18)+AN18/2</f>
        <v>2861541627.2237601</v>
      </c>
      <c r="AO83" s="305">
        <f>SUM($B18:AN18)+AO18/2</f>
        <v>2892818032.641645</v>
      </c>
      <c r="AP83" s="305">
        <f>SUM($B18:AO18)+AP18/2</f>
        <v>2916629312.5804696</v>
      </c>
      <c r="AQ83" s="305">
        <f>SUM($B18:AP18)+AQ18/2</f>
        <v>2933695240.3494005</v>
      </c>
      <c r="AR83" s="305">
        <f>SUM($B18:AQ18)+AR18/2</f>
        <v>2966878232.0723214</v>
      </c>
      <c r="AS83" s="305">
        <f t="shared" si="29"/>
        <v>60332182493.787636</v>
      </c>
      <c r="AT83" s="833"/>
      <c r="AU83" s="834"/>
      <c r="AV83" s="830"/>
      <c r="AW83" s="834"/>
      <c r="AX83" s="834"/>
    </row>
    <row r="84" spans="1:50" s="831" customFormat="1" x14ac:dyDescent="0.2">
      <c r="AT84" s="833"/>
      <c r="AU84" s="834"/>
      <c r="AV84" s="830"/>
      <c r="AW84" s="834"/>
      <c r="AX84" s="834"/>
    </row>
    <row r="85" spans="1:50" s="831" customFormat="1" ht="15.75" x14ac:dyDescent="0.25">
      <c r="A85" s="401" t="s">
        <v>279</v>
      </c>
      <c r="AB85" s="829"/>
      <c r="AC85" s="829"/>
      <c r="AD85" s="119"/>
      <c r="AE85" s="119"/>
      <c r="AF85" s="119"/>
      <c r="AG85" s="119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34"/>
      <c r="AT85" s="833"/>
      <c r="AU85" s="834"/>
      <c r="AV85" s="830"/>
      <c r="AW85" s="834"/>
      <c r="AX85" s="834"/>
    </row>
    <row r="86" spans="1:50" s="831" customFormat="1" x14ac:dyDescent="0.2">
      <c r="AB86" s="829"/>
      <c r="AC86" s="829"/>
      <c r="AD86" s="119"/>
      <c r="AE86" s="119"/>
      <c r="AF86" s="119"/>
      <c r="AG86" s="119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34"/>
      <c r="AT86" s="833"/>
      <c r="AU86" s="834"/>
      <c r="AV86" s="830"/>
      <c r="AW86" s="834"/>
      <c r="AX86" s="834"/>
    </row>
    <row r="87" spans="1:50" s="831" customFormat="1" ht="12.75" x14ac:dyDescent="0.2">
      <c r="A87" s="835" t="s">
        <v>133</v>
      </c>
      <c r="AB87" s="829"/>
      <c r="AC87" s="829"/>
      <c r="AD87" s="119"/>
      <c r="AE87" s="119"/>
      <c r="AF87" s="119"/>
      <c r="AG87" s="119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34"/>
      <c r="AT87" s="833"/>
      <c r="AU87" s="834"/>
      <c r="AV87" s="830"/>
      <c r="AW87" s="834"/>
      <c r="AX87" s="834"/>
    </row>
    <row r="88" spans="1:50" s="831" customFormat="1" ht="12.75" x14ac:dyDescent="0.2">
      <c r="A88" s="835" t="s">
        <v>134</v>
      </c>
      <c r="B88" s="831">
        <f>SUM(B125:B139)</f>
        <v>0</v>
      </c>
      <c r="C88" s="831">
        <f t="shared" ref="C88:AL88" si="30">SUM(C125:C139)</f>
        <v>0</v>
      </c>
      <c r="D88" s="831">
        <f t="shared" si="30"/>
        <v>0</v>
      </c>
      <c r="E88" s="831">
        <f t="shared" si="30"/>
        <v>0</v>
      </c>
      <c r="F88" s="831">
        <f t="shared" si="30"/>
        <v>0</v>
      </c>
      <c r="G88" s="831">
        <f t="shared" si="30"/>
        <v>0</v>
      </c>
      <c r="H88" s="831">
        <f t="shared" si="30"/>
        <v>0</v>
      </c>
      <c r="I88" s="831">
        <f t="shared" si="30"/>
        <v>0</v>
      </c>
      <c r="J88" s="831">
        <f t="shared" si="30"/>
        <v>0</v>
      </c>
      <c r="K88" s="831">
        <f t="shared" si="30"/>
        <v>0</v>
      </c>
      <c r="L88" s="831">
        <f t="shared" si="30"/>
        <v>0</v>
      </c>
      <c r="M88" s="831">
        <f t="shared" si="30"/>
        <v>0</v>
      </c>
      <c r="N88" s="831">
        <f t="shared" si="30"/>
        <v>0</v>
      </c>
      <c r="O88" s="831">
        <f t="shared" si="30"/>
        <v>0</v>
      </c>
      <c r="P88" s="831">
        <f t="shared" si="30"/>
        <v>0</v>
      </c>
      <c r="Q88" s="831">
        <f t="shared" si="30"/>
        <v>0</v>
      </c>
      <c r="R88" s="831">
        <f t="shared" si="30"/>
        <v>0</v>
      </c>
      <c r="S88" s="831">
        <f t="shared" si="30"/>
        <v>0</v>
      </c>
      <c r="T88" s="831">
        <f t="shared" si="30"/>
        <v>0</v>
      </c>
      <c r="U88" s="831">
        <f t="shared" si="30"/>
        <v>0</v>
      </c>
      <c r="V88" s="831">
        <f t="shared" si="30"/>
        <v>0</v>
      </c>
      <c r="W88" s="831">
        <f t="shared" si="30"/>
        <v>0</v>
      </c>
      <c r="X88" s="831">
        <f t="shared" si="30"/>
        <v>0</v>
      </c>
      <c r="Y88" s="831">
        <f t="shared" si="30"/>
        <v>1834862.3853211009</v>
      </c>
      <c r="Z88" s="831">
        <f t="shared" si="30"/>
        <v>13707501.349163519</v>
      </c>
      <c r="AA88" s="831">
        <f t="shared" si="30"/>
        <v>27253103.076092824</v>
      </c>
      <c r="AB88" s="829">
        <f t="shared" si="30"/>
        <v>33513221.80248246</v>
      </c>
      <c r="AC88" s="829">
        <f t="shared" si="30"/>
        <v>37776578.521316789</v>
      </c>
      <c r="AD88" s="119">
        <f t="shared" si="30"/>
        <v>41446303.291958988</v>
      </c>
      <c r="AE88" s="119">
        <f t="shared" si="30"/>
        <v>50566648.677819759</v>
      </c>
      <c r="AF88" s="119">
        <f t="shared" si="30"/>
        <v>60939017.808958448</v>
      </c>
      <c r="AG88" s="119">
        <f t="shared" si="30"/>
        <v>69481921.208850518</v>
      </c>
      <c r="AH88" s="110">
        <f t="shared" si="30"/>
        <v>98302524.015110642</v>
      </c>
      <c r="AI88" s="110">
        <f t="shared" si="30"/>
        <v>177740396.11440909</v>
      </c>
      <c r="AJ88" s="110">
        <f t="shared" si="30"/>
        <v>320339765.43227202</v>
      </c>
      <c r="AK88" s="110">
        <f t="shared" si="30"/>
        <v>560914743.43227196</v>
      </c>
      <c r="AL88" s="110">
        <f t="shared" si="30"/>
        <v>754957759.93227196</v>
      </c>
      <c r="AM88" s="110">
        <f>SUM(AM125:AM144)</f>
        <v>830565127.93227196</v>
      </c>
      <c r="AN88" s="110">
        <f t="shared" ref="AN88:AR88" si="31">SUM(AN125:AN144)</f>
        <v>878522721.43227196</v>
      </c>
      <c r="AO88" s="110">
        <f t="shared" si="31"/>
        <v>897732039.93227196</v>
      </c>
      <c r="AP88" s="110">
        <f t="shared" si="31"/>
        <v>912361793.93227196</v>
      </c>
      <c r="AQ88" s="110">
        <f t="shared" si="31"/>
        <v>931127930.43227196</v>
      </c>
      <c r="AR88" s="110">
        <f t="shared" si="31"/>
        <v>952759685.93227196</v>
      </c>
      <c r="AS88" s="134">
        <f t="shared" ref="AS88:AS95" si="32">SUM(B88:AR88)</f>
        <v>7651843646.6419315</v>
      </c>
      <c r="AT88" s="833"/>
      <c r="AU88" s="834"/>
      <c r="AV88" s="830"/>
      <c r="AW88" s="834"/>
      <c r="AX88" s="834"/>
    </row>
    <row r="89" spans="1:50" s="831" customFormat="1" ht="12.75" x14ac:dyDescent="0.2">
      <c r="A89" s="835" t="s">
        <v>135</v>
      </c>
      <c r="B89" s="831">
        <f>SUM(B120:B124)</f>
        <v>0</v>
      </c>
      <c r="C89" s="831">
        <f t="shared" ref="C89:AR89" si="33">SUM(C120:C124)</f>
        <v>0</v>
      </c>
      <c r="D89" s="831">
        <f t="shared" si="33"/>
        <v>0</v>
      </c>
      <c r="E89" s="831">
        <f t="shared" si="33"/>
        <v>0</v>
      </c>
      <c r="F89" s="831">
        <f t="shared" si="33"/>
        <v>0</v>
      </c>
      <c r="G89" s="831">
        <f t="shared" si="33"/>
        <v>0</v>
      </c>
      <c r="H89" s="831">
        <f t="shared" si="33"/>
        <v>0</v>
      </c>
      <c r="I89" s="831">
        <f t="shared" si="33"/>
        <v>0</v>
      </c>
      <c r="J89" s="831">
        <f t="shared" si="33"/>
        <v>0</v>
      </c>
      <c r="K89" s="831">
        <f t="shared" si="33"/>
        <v>0</v>
      </c>
      <c r="L89" s="831">
        <f t="shared" si="33"/>
        <v>0</v>
      </c>
      <c r="M89" s="831">
        <f t="shared" si="33"/>
        <v>0</v>
      </c>
      <c r="N89" s="831">
        <f t="shared" si="33"/>
        <v>0</v>
      </c>
      <c r="O89" s="831">
        <f t="shared" si="33"/>
        <v>0</v>
      </c>
      <c r="P89" s="831">
        <f t="shared" si="33"/>
        <v>0</v>
      </c>
      <c r="Q89" s="831">
        <f t="shared" si="33"/>
        <v>0</v>
      </c>
      <c r="R89" s="831">
        <f t="shared" si="33"/>
        <v>0</v>
      </c>
      <c r="S89" s="831">
        <f t="shared" si="33"/>
        <v>0</v>
      </c>
      <c r="T89" s="831">
        <f t="shared" si="33"/>
        <v>0</v>
      </c>
      <c r="U89" s="831">
        <f t="shared" si="33"/>
        <v>0</v>
      </c>
      <c r="V89" s="831">
        <f t="shared" si="33"/>
        <v>0</v>
      </c>
      <c r="W89" s="831">
        <f t="shared" si="33"/>
        <v>0</v>
      </c>
      <c r="X89" s="831">
        <f t="shared" si="33"/>
        <v>0</v>
      </c>
      <c r="Y89" s="831">
        <f t="shared" si="33"/>
        <v>0</v>
      </c>
      <c r="Z89" s="831">
        <f t="shared" si="33"/>
        <v>0</v>
      </c>
      <c r="AA89" s="831">
        <f t="shared" si="33"/>
        <v>0</v>
      </c>
      <c r="AB89" s="829">
        <f t="shared" si="33"/>
        <v>0</v>
      </c>
      <c r="AC89" s="829">
        <f t="shared" si="33"/>
        <v>16123.583378305451</v>
      </c>
      <c r="AD89" s="119">
        <f t="shared" si="33"/>
        <v>142800.86346465192</v>
      </c>
      <c r="AE89" s="119">
        <f t="shared" si="33"/>
        <v>332546.06017269293</v>
      </c>
      <c r="AF89" s="119">
        <f t="shared" si="33"/>
        <v>450872.56017269293</v>
      </c>
      <c r="AG89" s="119">
        <f t="shared" si="33"/>
        <v>490437.56017269293</v>
      </c>
      <c r="AH89" s="110">
        <f t="shared" si="33"/>
        <v>490867.56017269293</v>
      </c>
      <c r="AI89" s="110">
        <f t="shared" si="33"/>
        <v>490867.56017269293</v>
      </c>
      <c r="AJ89" s="110">
        <f t="shared" si="33"/>
        <v>490867.56017269293</v>
      </c>
      <c r="AK89" s="110">
        <f t="shared" si="33"/>
        <v>490867.56017269293</v>
      </c>
      <c r="AL89" s="110">
        <f t="shared" si="33"/>
        <v>490867.56017269293</v>
      </c>
      <c r="AM89" s="110">
        <f t="shared" si="33"/>
        <v>490867.56017269293</v>
      </c>
      <c r="AN89" s="110">
        <f t="shared" si="33"/>
        <v>490867.56017269293</v>
      </c>
      <c r="AO89" s="110">
        <f t="shared" si="33"/>
        <v>490867.56017269293</v>
      </c>
      <c r="AP89" s="110">
        <f t="shared" si="33"/>
        <v>490867.56017269293</v>
      </c>
      <c r="AQ89" s="110">
        <f t="shared" si="33"/>
        <v>490867.56017269293</v>
      </c>
      <c r="AR89" s="110">
        <f t="shared" si="33"/>
        <v>490867.56017269293</v>
      </c>
      <c r="AS89" s="134">
        <f t="shared" si="32"/>
        <v>6832323.7892606584</v>
      </c>
      <c r="AT89" s="833"/>
      <c r="AU89" s="834"/>
      <c r="AV89" s="830"/>
      <c r="AW89" s="834"/>
      <c r="AX89" s="834"/>
    </row>
    <row r="90" spans="1:50" s="831" customFormat="1" ht="12.75" x14ac:dyDescent="0.2">
      <c r="A90" s="835" t="s">
        <v>136</v>
      </c>
      <c r="AB90" s="829"/>
      <c r="AC90" s="829"/>
      <c r="AD90" s="119"/>
      <c r="AE90" s="119"/>
      <c r="AF90" s="119"/>
      <c r="AG90" s="119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34">
        <f t="shared" si="32"/>
        <v>0</v>
      </c>
      <c r="AT90" s="833"/>
      <c r="AU90" s="834"/>
      <c r="AV90" s="830"/>
      <c r="AW90" s="834"/>
      <c r="AX90" s="834"/>
    </row>
    <row r="91" spans="1:50" s="831" customFormat="1" ht="12.75" x14ac:dyDescent="0.2">
      <c r="A91" s="835" t="s">
        <v>137</v>
      </c>
      <c r="B91" s="831">
        <f>SUM(B145:B153)</f>
        <v>0</v>
      </c>
      <c r="C91" s="831">
        <f t="shared" ref="C91:AL91" si="34">SUM(C145:C153)</f>
        <v>0</v>
      </c>
      <c r="D91" s="831">
        <f t="shared" si="34"/>
        <v>0</v>
      </c>
      <c r="E91" s="831">
        <f t="shared" si="34"/>
        <v>0</v>
      </c>
      <c r="F91" s="831">
        <f t="shared" si="34"/>
        <v>0</v>
      </c>
      <c r="G91" s="831">
        <f t="shared" si="34"/>
        <v>0</v>
      </c>
      <c r="H91" s="831">
        <f t="shared" si="34"/>
        <v>0</v>
      </c>
      <c r="I91" s="831">
        <f t="shared" si="34"/>
        <v>0</v>
      </c>
      <c r="J91" s="831">
        <f t="shared" si="34"/>
        <v>0</v>
      </c>
      <c r="K91" s="831">
        <f t="shared" si="34"/>
        <v>0</v>
      </c>
      <c r="L91" s="831">
        <f t="shared" si="34"/>
        <v>0</v>
      </c>
      <c r="M91" s="831">
        <f t="shared" si="34"/>
        <v>0</v>
      </c>
      <c r="N91" s="831">
        <f t="shared" si="34"/>
        <v>0</v>
      </c>
      <c r="O91" s="831">
        <f t="shared" si="34"/>
        <v>0</v>
      </c>
      <c r="P91" s="831">
        <f t="shared" si="34"/>
        <v>0</v>
      </c>
      <c r="Q91" s="831">
        <f t="shared" si="34"/>
        <v>0</v>
      </c>
      <c r="R91" s="831">
        <f t="shared" si="34"/>
        <v>0</v>
      </c>
      <c r="S91" s="831">
        <f t="shared" si="34"/>
        <v>0</v>
      </c>
      <c r="T91" s="831">
        <f t="shared" si="34"/>
        <v>0</v>
      </c>
      <c r="U91" s="831">
        <f t="shared" si="34"/>
        <v>0</v>
      </c>
      <c r="V91" s="831">
        <f t="shared" si="34"/>
        <v>0</v>
      </c>
      <c r="W91" s="831">
        <f t="shared" si="34"/>
        <v>0</v>
      </c>
      <c r="X91" s="831">
        <f t="shared" si="34"/>
        <v>0</v>
      </c>
      <c r="Y91" s="831">
        <f t="shared" si="34"/>
        <v>0</v>
      </c>
      <c r="Z91" s="831">
        <f t="shared" si="34"/>
        <v>0</v>
      </c>
      <c r="AA91" s="831">
        <f t="shared" si="34"/>
        <v>0</v>
      </c>
      <c r="AB91" s="829">
        <f t="shared" si="34"/>
        <v>0</v>
      </c>
      <c r="AC91" s="829">
        <f t="shared" si="34"/>
        <v>0</v>
      </c>
      <c r="AD91" s="119">
        <f t="shared" si="34"/>
        <v>0</v>
      </c>
      <c r="AE91" s="119">
        <f t="shared" si="34"/>
        <v>1114145</v>
      </c>
      <c r="AF91" s="119">
        <f t="shared" si="34"/>
        <v>3543368</v>
      </c>
      <c r="AG91" s="119">
        <f t="shared" si="34"/>
        <v>4977750.5</v>
      </c>
      <c r="AH91" s="110">
        <f t="shared" si="34"/>
        <v>5097055</v>
      </c>
      <c r="AI91" s="110">
        <f t="shared" si="34"/>
        <v>5097055</v>
      </c>
      <c r="AJ91" s="110">
        <f t="shared" si="34"/>
        <v>5097055</v>
      </c>
      <c r="AK91" s="110">
        <f t="shared" si="34"/>
        <v>25230700</v>
      </c>
      <c r="AL91" s="110">
        <f t="shared" si="34"/>
        <v>45364345</v>
      </c>
      <c r="AM91" s="110">
        <f>SUM(AM145:AM158)</f>
        <v>67908933</v>
      </c>
      <c r="AN91" s="110">
        <f t="shared" ref="AN91:AR91" si="35">SUM(AN145:AN158)</f>
        <v>90763228</v>
      </c>
      <c r="AO91" s="110">
        <f t="shared" si="35"/>
        <v>92015752.560849041</v>
      </c>
      <c r="AP91" s="110">
        <f t="shared" si="35"/>
        <v>99738941.732371077</v>
      </c>
      <c r="AQ91" s="110">
        <f t="shared" si="35"/>
        <v>163371534.9070251</v>
      </c>
      <c r="AR91" s="110">
        <f t="shared" si="35"/>
        <v>220796346.86496189</v>
      </c>
      <c r="AS91" s="134">
        <f t="shared" si="32"/>
        <v>830116210.56520712</v>
      </c>
      <c r="AT91" s="833"/>
      <c r="AU91" s="834"/>
      <c r="AV91" s="830"/>
      <c r="AW91" s="834"/>
      <c r="AX91" s="834"/>
    </row>
    <row r="92" spans="1:50" s="831" customFormat="1" ht="12.75" x14ac:dyDescent="0.2">
      <c r="A92" s="835" t="s">
        <v>138</v>
      </c>
      <c r="B92" s="831">
        <f>SUM(B159:B166)</f>
        <v>0</v>
      </c>
      <c r="C92" s="831">
        <f t="shared" ref="C92:AL92" si="36">SUM(C159:C166)</f>
        <v>0</v>
      </c>
      <c r="D92" s="831">
        <f t="shared" si="36"/>
        <v>0</v>
      </c>
      <c r="E92" s="831">
        <f t="shared" si="36"/>
        <v>0</v>
      </c>
      <c r="F92" s="831">
        <f t="shared" si="36"/>
        <v>0</v>
      </c>
      <c r="G92" s="831">
        <f t="shared" si="36"/>
        <v>0</v>
      </c>
      <c r="H92" s="831">
        <f t="shared" si="36"/>
        <v>0</v>
      </c>
      <c r="I92" s="831">
        <f t="shared" si="36"/>
        <v>0</v>
      </c>
      <c r="J92" s="831">
        <f t="shared" si="36"/>
        <v>0</v>
      </c>
      <c r="K92" s="831">
        <f t="shared" si="36"/>
        <v>0</v>
      </c>
      <c r="L92" s="831">
        <f t="shared" si="36"/>
        <v>0</v>
      </c>
      <c r="M92" s="831">
        <f t="shared" si="36"/>
        <v>0</v>
      </c>
      <c r="N92" s="831">
        <f t="shared" si="36"/>
        <v>0</v>
      </c>
      <c r="O92" s="831">
        <f t="shared" si="36"/>
        <v>0</v>
      </c>
      <c r="P92" s="831">
        <f t="shared" si="36"/>
        <v>0</v>
      </c>
      <c r="Q92" s="831">
        <f t="shared" si="36"/>
        <v>0</v>
      </c>
      <c r="R92" s="831">
        <f t="shared" si="36"/>
        <v>0</v>
      </c>
      <c r="S92" s="831">
        <f t="shared" si="36"/>
        <v>0</v>
      </c>
      <c r="T92" s="831">
        <f t="shared" si="36"/>
        <v>0</v>
      </c>
      <c r="U92" s="831">
        <f t="shared" si="36"/>
        <v>0</v>
      </c>
      <c r="V92" s="831">
        <f t="shared" si="36"/>
        <v>0</v>
      </c>
      <c r="W92" s="831">
        <f t="shared" si="36"/>
        <v>0</v>
      </c>
      <c r="X92" s="831">
        <f t="shared" si="36"/>
        <v>0</v>
      </c>
      <c r="Y92" s="831">
        <f t="shared" si="36"/>
        <v>0</v>
      </c>
      <c r="Z92" s="831">
        <f t="shared" si="36"/>
        <v>0</v>
      </c>
      <c r="AA92" s="831">
        <f t="shared" si="36"/>
        <v>0</v>
      </c>
      <c r="AB92" s="829">
        <f t="shared" si="36"/>
        <v>0</v>
      </c>
      <c r="AC92" s="829">
        <f t="shared" si="36"/>
        <v>0</v>
      </c>
      <c r="AD92" s="119">
        <f t="shared" si="36"/>
        <v>0</v>
      </c>
      <c r="AE92" s="119">
        <f t="shared" si="36"/>
        <v>0</v>
      </c>
      <c r="AF92" s="119">
        <f t="shared" si="36"/>
        <v>719745</v>
      </c>
      <c r="AG92" s="119">
        <f t="shared" si="36"/>
        <v>13843630.5</v>
      </c>
      <c r="AH92" s="110">
        <f t="shared" si="36"/>
        <v>29749030.5</v>
      </c>
      <c r="AI92" s="110">
        <f t="shared" si="36"/>
        <v>37615859.5</v>
      </c>
      <c r="AJ92" s="110">
        <f t="shared" si="36"/>
        <v>44714615</v>
      </c>
      <c r="AK92" s="110">
        <f t="shared" si="36"/>
        <v>48569092</v>
      </c>
      <c r="AL92" s="110">
        <f t="shared" si="36"/>
        <v>51852362.5</v>
      </c>
      <c r="AM92" s="110">
        <f>SUM(AM159:AM171)</f>
        <v>56941053</v>
      </c>
      <c r="AN92" s="110">
        <f t="shared" ref="AN92:AR92" si="37">SUM(AN159:AN171)</f>
        <v>64207737</v>
      </c>
      <c r="AO92" s="110">
        <f t="shared" si="37"/>
        <v>73622642.143403634</v>
      </c>
      <c r="AP92" s="110">
        <f t="shared" si="37"/>
        <v>83930626.354895309</v>
      </c>
      <c r="AQ92" s="110">
        <f t="shared" si="37"/>
        <v>97194819.496982098</v>
      </c>
      <c r="AR92" s="110">
        <f t="shared" si="37"/>
        <v>115395098.4471193</v>
      </c>
      <c r="AS92" s="134">
        <f t="shared" si="32"/>
        <v>718356311.44240022</v>
      </c>
      <c r="AT92" s="833"/>
      <c r="AU92" s="834"/>
      <c r="AV92" s="830"/>
      <c r="AW92" s="834"/>
      <c r="AX92" s="834"/>
    </row>
    <row r="93" spans="1:50" s="831" customFormat="1" ht="12.75" x14ac:dyDescent="0.2">
      <c r="A93" s="835" t="s">
        <v>139</v>
      </c>
      <c r="B93" s="831">
        <f>SUM(B105:B114)</f>
        <v>0</v>
      </c>
      <c r="C93" s="831">
        <f t="shared" ref="C93:AL93" si="38">SUM(C105:C114)</f>
        <v>0</v>
      </c>
      <c r="D93" s="831">
        <f t="shared" si="38"/>
        <v>0</v>
      </c>
      <c r="E93" s="831">
        <f t="shared" si="38"/>
        <v>0</v>
      </c>
      <c r="F93" s="831">
        <f t="shared" si="38"/>
        <v>0</v>
      </c>
      <c r="G93" s="831">
        <f t="shared" si="38"/>
        <v>0</v>
      </c>
      <c r="H93" s="831">
        <f t="shared" si="38"/>
        <v>0</v>
      </c>
      <c r="I93" s="831">
        <f t="shared" si="38"/>
        <v>0</v>
      </c>
      <c r="J93" s="831">
        <f t="shared" si="38"/>
        <v>0</v>
      </c>
      <c r="K93" s="831">
        <f t="shared" si="38"/>
        <v>0</v>
      </c>
      <c r="L93" s="831">
        <f t="shared" si="38"/>
        <v>0</v>
      </c>
      <c r="M93" s="831">
        <f t="shared" si="38"/>
        <v>0</v>
      </c>
      <c r="N93" s="831">
        <f t="shared" si="38"/>
        <v>0</v>
      </c>
      <c r="O93" s="831">
        <f t="shared" si="38"/>
        <v>0</v>
      </c>
      <c r="P93" s="831">
        <f t="shared" si="38"/>
        <v>0</v>
      </c>
      <c r="Q93" s="831">
        <f t="shared" si="38"/>
        <v>0</v>
      </c>
      <c r="R93" s="831">
        <f t="shared" si="38"/>
        <v>0</v>
      </c>
      <c r="S93" s="831">
        <f t="shared" si="38"/>
        <v>0</v>
      </c>
      <c r="T93" s="831">
        <f t="shared" si="38"/>
        <v>0</v>
      </c>
      <c r="U93" s="831">
        <f t="shared" si="38"/>
        <v>0</v>
      </c>
      <c r="V93" s="831">
        <f t="shared" si="38"/>
        <v>0</v>
      </c>
      <c r="W93" s="831">
        <f t="shared" si="38"/>
        <v>0</v>
      </c>
      <c r="X93" s="831">
        <f t="shared" si="38"/>
        <v>0</v>
      </c>
      <c r="Y93" s="831">
        <f t="shared" si="38"/>
        <v>0</v>
      </c>
      <c r="Z93" s="831">
        <f t="shared" si="38"/>
        <v>0</v>
      </c>
      <c r="AA93" s="831">
        <f t="shared" si="38"/>
        <v>0</v>
      </c>
      <c r="AB93" s="829">
        <f t="shared" si="38"/>
        <v>0</v>
      </c>
      <c r="AC93" s="829">
        <f t="shared" si="38"/>
        <v>0</v>
      </c>
      <c r="AD93" s="119">
        <f t="shared" si="38"/>
        <v>9012174.3119266052</v>
      </c>
      <c r="AE93" s="119">
        <f t="shared" si="38"/>
        <v>30663187.263896383</v>
      </c>
      <c r="AF93" s="119">
        <f t="shared" si="38"/>
        <v>60876528.332433894</v>
      </c>
      <c r="AG93" s="119">
        <f t="shared" si="38"/>
        <v>100034716.13599569</v>
      </c>
      <c r="AH93" s="110">
        <f t="shared" si="38"/>
        <v>143828401.01106316</v>
      </c>
      <c r="AI93" s="110">
        <f t="shared" si="38"/>
        <v>191596113.01106316</v>
      </c>
      <c r="AJ93" s="110">
        <f t="shared" si="38"/>
        <v>231532648.51106316</v>
      </c>
      <c r="AK93" s="110">
        <f t="shared" si="38"/>
        <v>259639761.01106316</v>
      </c>
      <c r="AL93" s="110">
        <f t="shared" si="38"/>
        <v>297728574.01106316</v>
      </c>
      <c r="AM93" s="110">
        <f>SUM(AM105:AM119)</f>
        <v>347451099.01106316</v>
      </c>
      <c r="AN93" s="110">
        <f t="shared" ref="AN93:AR93" si="39">SUM(AN105:AN119)</f>
        <v>399106824.51106316</v>
      </c>
      <c r="AO93" s="110">
        <f t="shared" si="39"/>
        <v>459543879.01106316</v>
      </c>
      <c r="AP93" s="110">
        <f t="shared" si="39"/>
        <v>516975704.51106316</v>
      </c>
      <c r="AQ93" s="110">
        <f t="shared" si="39"/>
        <v>557929046.5110631</v>
      </c>
      <c r="AR93" s="110">
        <f t="shared" si="39"/>
        <v>606177718.76884687</v>
      </c>
      <c r="AS93" s="134">
        <f t="shared" si="32"/>
        <v>4212096375.9237309</v>
      </c>
      <c r="AT93" s="833"/>
      <c r="AU93" s="834"/>
      <c r="AV93" s="830"/>
      <c r="AW93" s="834"/>
      <c r="AX93" s="834"/>
    </row>
    <row r="94" spans="1:50" s="831" customFormat="1" ht="12.75" x14ac:dyDescent="0.2">
      <c r="A94" s="835" t="s">
        <v>140</v>
      </c>
      <c r="AB94" s="829"/>
      <c r="AC94" s="829"/>
      <c r="AD94" s="119"/>
      <c r="AE94" s="119"/>
      <c r="AF94" s="119"/>
      <c r="AG94" s="119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>
        <f>SUM(AQ175:AQ176)</f>
        <v>388414.82683523127</v>
      </c>
      <c r="AR94" s="110">
        <f>SUM(AR175:AR176)</f>
        <v>1088198.7417681485</v>
      </c>
      <c r="AS94" s="134">
        <f t="shared" si="32"/>
        <v>1476613.5686033797</v>
      </c>
      <c r="AT94" s="833"/>
      <c r="AU94" s="834"/>
      <c r="AV94" s="830"/>
      <c r="AW94" s="834"/>
      <c r="AX94" s="834"/>
    </row>
    <row r="95" spans="1:50" s="831" customFormat="1" ht="12.75" x14ac:dyDescent="0.2">
      <c r="A95" s="835" t="s">
        <v>141</v>
      </c>
      <c r="AB95" s="829"/>
      <c r="AC95" s="829"/>
      <c r="AD95" s="119"/>
      <c r="AE95" s="119"/>
      <c r="AF95" s="119"/>
      <c r="AG95" s="119"/>
      <c r="AH95" s="110"/>
      <c r="AI95" s="110"/>
      <c r="AJ95" s="110"/>
      <c r="AK95" s="110"/>
      <c r="AL95" s="110"/>
      <c r="AM95" s="110"/>
      <c r="AN95" s="110"/>
      <c r="AO95" s="110"/>
      <c r="AP95" s="110">
        <f>SUM(AP172:AP174)</f>
        <v>158635.82507539855</v>
      </c>
      <c r="AQ95" s="110">
        <f t="shared" ref="AQ95:AR95" si="40">SUM(AQ172:AQ174)</f>
        <v>2026648.3366051954</v>
      </c>
      <c r="AR95" s="110">
        <f t="shared" si="40"/>
        <v>4022782.8985568518</v>
      </c>
      <c r="AS95" s="134">
        <f t="shared" si="32"/>
        <v>6208067.0602374459</v>
      </c>
      <c r="AT95" s="833"/>
      <c r="AU95" s="834"/>
      <c r="AV95" s="830"/>
      <c r="AW95" s="834"/>
      <c r="AX95" s="834"/>
    </row>
    <row r="96" spans="1:50" s="831" customFormat="1" ht="12.75" x14ac:dyDescent="0.2">
      <c r="A96" s="835" t="s">
        <v>142</v>
      </c>
      <c r="AB96" s="829"/>
      <c r="AC96" s="829"/>
      <c r="AD96" s="119"/>
      <c r="AE96" s="119"/>
      <c r="AF96" s="119"/>
      <c r="AG96" s="119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34">
        <f t="shared" ref="AS96" si="41">SUM(B96:AM96)</f>
        <v>0</v>
      </c>
      <c r="AT96" s="833"/>
      <c r="AU96" s="834"/>
      <c r="AV96" s="830"/>
      <c r="AW96" s="834"/>
      <c r="AX96" s="834"/>
    </row>
    <row r="97" spans="1:50" s="831" customFormat="1" ht="12.75" x14ac:dyDescent="0.2">
      <c r="A97" s="835" t="s">
        <v>192</v>
      </c>
      <c r="B97" s="831">
        <f>SUM(B87:B96)</f>
        <v>0</v>
      </c>
      <c r="C97" s="831">
        <f t="shared" ref="C97:AR97" si="42">SUM(C87:C96)</f>
        <v>0</v>
      </c>
      <c r="D97" s="831">
        <f t="shared" si="42"/>
        <v>0</v>
      </c>
      <c r="E97" s="831">
        <f t="shared" si="42"/>
        <v>0</v>
      </c>
      <c r="F97" s="831">
        <f t="shared" si="42"/>
        <v>0</v>
      </c>
      <c r="G97" s="831">
        <f t="shared" si="42"/>
        <v>0</v>
      </c>
      <c r="H97" s="831">
        <f t="shared" si="42"/>
        <v>0</v>
      </c>
      <c r="I97" s="831">
        <f t="shared" si="42"/>
        <v>0</v>
      </c>
      <c r="J97" s="831">
        <f t="shared" si="42"/>
        <v>0</v>
      </c>
      <c r="K97" s="831">
        <f t="shared" si="42"/>
        <v>0</v>
      </c>
      <c r="L97" s="831">
        <f t="shared" si="42"/>
        <v>0</v>
      </c>
      <c r="M97" s="831">
        <f t="shared" si="42"/>
        <v>0</v>
      </c>
      <c r="N97" s="831">
        <f t="shared" si="42"/>
        <v>0</v>
      </c>
      <c r="O97" s="831">
        <f t="shared" si="42"/>
        <v>0</v>
      </c>
      <c r="P97" s="831">
        <f t="shared" si="42"/>
        <v>0</v>
      </c>
      <c r="Q97" s="831">
        <f t="shared" si="42"/>
        <v>0</v>
      </c>
      <c r="R97" s="831">
        <f t="shared" si="42"/>
        <v>0</v>
      </c>
      <c r="S97" s="831">
        <f t="shared" si="42"/>
        <v>0</v>
      </c>
      <c r="T97" s="831">
        <f t="shared" si="42"/>
        <v>0</v>
      </c>
      <c r="U97" s="831">
        <f t="shared" si="42"/>
        <v>0</v>
      </c>
      <c r="V97" s="831">
        <f t="shared" si="42"/>
        <v>0</v>
      </c>
      <c r="W97" s="831">
        <f t="shared" si="42"/>
        <v>0</v>
      </c>
      <c r="X97" s="831">
        <f t="shared" si="42"/>
        <v>0</v>
      </c>
      <c r="Y97" s="831">
        <f t="shared" si="42"/>
        <v>1834862.3853211009</v>
      </c>
      <c r="Z97" s="831">
        <f t="shared" si="42"/>
        <v>13707501.349163519</v>
      </c>
      <c r="AA97" s="831">
        <f t="shared" si="42"/>
        <v>27253103.076092824</v>
      </c>
      <c r="AB97" s="829">
        <f t="shared" si="42"/>
        <v>33513221.80248246</v>
      </c>
      <c r="AC97" s="829">
        <f t="shared" si="42"/>
        <v>37792702.104695097</v>
      </c>
      <c r="AD97" s="119">
        <f t="shared" si="42"/>
        <v>50601278.467350245</v>
      </c>
      <c r="AE97" s="119">
        <f t="shared" si="42"/>
        <v>82676527.001888841</v>
      </c>
      <c r="AF97" s="119">
        <f t="shared" si="42"/>
        <v>126529531.70156503</v>
      </c>
      <c r="AG97" s="119">
        <f t="shared" si="42"/>
        <v>188828455.9050189</v>
      </c>
      <c r="AH97" s="110">
        <f t="shared" si="42"/>
        <v>277467878.08634651</v>
      </c>
      <c r="AI97" s="110">
        <f t="shared" si="42"/>
        <v>412540291.18564498</v>
      </c>
      <c r="AJ97" s="110">
        <f t="shared" si="42"/>
        <v>602174951.50350785</v>
      </c>
      <c r="AK97" s="110">
        <f t="shared" si="42"/>
        <v>894845164.00350785</v>
      </c>
      <c r="AL97" s="110">
        <f t="shared" si="42"/>
        <v>1150393909.0035079</v>
      </c>
      <c r="AM97" s="110">
        <f t="shared" si="42"/>
        <v>1303357080.5035079</v>
      </c>
      <c r="AN97" s="110">
        <f t="shared" si="42"/>
        <v>1433091378.5035079</v>
      </c>
      <c r="AO97" s="110">
        <f t="shared" si="42"/>
        <v>1523405181.2077606</v>
      </c>
      <c r="AP97" s="110">
        <f t="shared" si="42"/>
        <v>1613656569.9158494</v>
      </c>
      <c r="AQ97" s="110">
        <f t="shared" si="42"/>
        <v>1752529262.0709555</v>
      </c>
      <c r="AR97" s="110">
        <f t="shared" si="42"/>
        <v>1900730699.2136979</v>
      </c>
      <c r="AS97" s="134">
        <f>SUM(B97:AR97)</f>
        <v>13426929548.991371</v>
      </c>
      <c r="AT97" s="833"/>
      <c r="AU97" s="834"/>
      <c r="AV97" s="830"/>
      <c r="AW97" s="834"/>
      <c r="AX97" s="834"/>
    </row>
    <row r="98" spans="1:50" s="831" customFormat="1" ht="12.75" x14ac:dyDescent="0.2">
      <c r="A98" s="835"/>
      <c r="AB98" s="829"/>
      <c r="AC98" s="829"/>
      <c r="AD98" s="119"/>
      <c r="AE98" s="119"/>
      <c r="AF98" s="119"/>
      <c r="AG98" s="119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34"/>
      <c r="AT98" s="833"/>
      <c r="AU98" s="834"/>
      <c r="AV98" s="830"/>
      <c r="AW98" s="834"/>
      <c r="AX98" s="834"/>
    </row>
    <row r="99" spans="1:50" s="831" customFormat="1" x14ac:dyDescent="0.2">
      <c r="AB99" s="829"/>
      <c r="AC99" s="829"/>
      <c r="AD99" s="119"/>
      <c r="AE99" s="119"/>
      <c r="AF99" s="119"/>
      <c r="AG99" s="119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34"/>
      <c r="AT99" s="833"/>
      <c r="AU99" s="834"/>
      <c r="AV99" s="830"/>
      <c r="AW99" s="834"/>
      <c r="AX99" s="834"/>
    </row>
    <row r="100" spans="1:50" s="831" customFormat="1" x14ac:dyDescent="0.2">
      <c r="AB100" s="829"/>
      <c r="AC100" s="829"/>
      <c r="AD100" s="119"/>
      <c r="AE100" s="119"/>
      <c r="AF100" s="119"/>
      <c r="AG100" s="119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34"/>
      <c r="AT100" s="833"/>
      <c r="AU100" s="834"/>
      <c r="AV100" s="830"/>
      <c r="AW100" s="834"/>
      <c r="AX100" s="834"/>
    </row>
    <row r="101" spans="1:50" s="831" customFormat="1" x14ac:dyDescent="0.2">
      <c r="AB101" s="829"/>
      <c r="AC101" s="829"/>
      <c r="AD101" s="119"/>
      <c r="AE101" s="119"/>
      <c r="AF101" s="119"/>
      <c r="AG101" s="119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34"/>
      <c r="AT101" s="833"/>
      <c r="AU101" s="834"/>
      <c r="AV101" s="830"/>
      <c r="AW101" s="834"/>
      <c r="AX101" s="834"/>
    </row>
    <row r="102" spans="1:50" s="831" customFormat="1" x14ac:dyDescent="0.2">
      <c r="AB102" s="829"/>
      <c r="AC102" s="829"/>
      <c r="AD102" s="119"/>
      <c r="AE102" s="119"/>
      <c r="AF102" s="119"/>
      <c r="AG102" s="119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34"/>
      <c r="AT102" s="833"/>
      <c r="AU102" s="834"/>
      <c r="AV102" s="830"/>
      <c r="AW102" s="834"/>
      <c r="AX102" s="834"/>
    </row>
    <row r="103" spans="1:50" s="831" customFormat="1" ht="13.5" thickBot="1" x14ac:dyDescent="0.25">
      <c r="A103" s="411"/>
      <c r="B103" s="411"/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E103" s="411"/>
      <c r="AF103" s="411"/>
      <c r="AG103" s="411"/>
      <c r="AH103" s="507"/>
      <c r="AI103" s="507"/>
      <c r="AJ103" s="507"/>
      <c r="AK103" s="507"/>
      <c r="AL103" s="507"/>
      <c r="AM103" s="507"/>
      <c r="AN103" s="507"/>
      <c r="AO103" s="507"/>
      <c r="AP103" s="507"/>
      <c r="AQ103" s="507"/>
      <c r="AR103" s="507"/>
      <c r="AS103" s="429"/>
      <c r="AT103" s="833"/>
      <c r="AU103" s="834"/>
      <c r="AV103" s="830"/>
      <c r="AW103" s="834"/>
      <c r="AX103" s="834"/>
    </row>
    <row r="104" spans="1:50" s="418" customFormat="1" ht="14.25" thickTop="1" thickBot="1" x14ac:dyDescent="0.25">
      <c r="A104" s="839" t="s">
        <v>280</v>
      </c>
      <c r="B104" s="840">
        <v>1981</v>
      </c>
      <c r="C104" s="840">
        <v>1982</v>
      </c>
      <c r="D104" s="840">
        <v>1983</v>
      </c>
      <c r="E104" s="840">
        <v>1984</v>
      </c>
      <c r="F104" s="840">
        <v>1985</v>
      </c>
      <c r="G104" s="840">
        <v>1986</v>
      </c>
      <c r="H104" s="840">
        <v>1987</v>
      </c>
      <c r="I104" s="840">
        <v>1988</v>
      </c>
      <c r="J104" s="840">
        <v>1989</v>
      </c>
      <c r="K104" s="840">
        <v>1990</v>
      </c>
      <c r="L104" s="840">
        <v>1991</v>
      </c>
      <c r="M104" s="840">
        <v>1992</v>
      </c>
      <c r="N104" s="840">
        <v>1993</v>
      </c>
      <c r="O104" s="840">
        <v>1994</v>
      </c>
      <c r="P104" s="840">
        <v>1995</v>
      </c>
      <c r="Q104" s="840">
        <v>1996</v>
      </c>
      <c r="R104" s="840">
        <v>1997</v>
      </c>
      <c r="S104" s="840">
        <v>1998</v>
      </c>
      <c r="T104" s="840">
        <v>1999</v>
      </c>
      <c r="U104" s="840">
        <v>2000</v>
      </c>
      <c r="V104" s="840">
        <v>2001</v>
      </c>
      <c r="W104" s="840">
        <v>2002</v>
      </c>
      <c r="X104" s="840">
        <v>2003</v>
      </c>
      <c r="Y104" s="840">
        <v>2004</v>
      </c>
      <c r="Z104" s="840">
        <v>2005</v>
      </c>
      <c r="AA104" s="144">
        <v>2006</v>
      </c>
      <c r="AB104" s="144">
        <v>2007</v>
      </c>
      <c r="AC104" s="144">
        <v>2008</v>
      </c>
      <c r="AD104" s="144">
        <v>2009</v>
      </c>
      <c r="AE104" s="144">
        <v>2010</v>
      </c>
      <c r="AF104" s="144">
        <v>2011</v>
      </c>
      <c r="AG104" s="144">
        <v>2012</v>
      </c>
      <c r="AH104" s="144">
        <v>2013</v>
      </c>
      <c r="AI104" s="144">
        <v>2014</v>
      </c>
      <c r="AJ104" s="144">
        <v>2015</v>
      </c>
      <c r="AK104" s="144">
        <v>2016</v>
      </c>
      <c r="AL104" s="144">
        <v>2017</v>
      </c>
      <c r="AM104" s="144">
        <v>2018</v>
      </c>
      <c r="AN104" s="144">
        <v>2019</v>
      </c>
      <c r="AO104" s="144">
        <v>2020</v>
      </c>
      <c r="AP104" s="144">
        <v>2021</v>
      </c>
      <c r="AQ104" s="144">
        <v>2022</v>
      </c>
      <c r="AR104" s="144">
        <v>2023</v>
      </c>
      <c r="AS104" s="80" t="s">
        <v>281</v>
      </c>
      <c r="AT104" s="411"/>
      <c r="AU104" s="411"/>
      <c r="AV104" s="841"/>
      <c r="AW104" s="141"/>
      <c r="AX104" s="141"/>
    </row>
    <row r="105" spans="1:50" ht="13.5" thickTop="1" x14ac:dyDescent="0.2">
      <c r="A105" s="842" t="s">
        <v>383</v>
      </c>
      <c r="B105" s="463"/>
      <c r="C105" s="463"/>
      <c r="D105" s="463"/>
      <c r="E105" s="463"/>
      <c r="F105" s="463"/>
      <c r="G105" s="463"/>
      <c r="H105" s="463"/>
      <c r="I105" s="463"/>
      <c r="J105" s="463"/>
      <c r="K105" s="463"/>
      <c r="L105" s="463"/>
      <c r="M105" s="463"/>
      <c r="N105" s="463"/>
      <c r="O105" s="463"/>
      <c r="P105" s="463"/>
      <c r="Q105" s="463"/>
      <c r="R105" s="463"/>
      <c r="S105" s="463"/>
      <c r="T105" s="463"/>
      <c r="U105" s="463"/>
      <c r="V105" s="463"/>
      <c r="W105" s="463"/>
      <c r="X105" s="463"/>
      <c r="Y105" s="122"/>
      <c r="Z105" s="122"/>
      <c r="AA105" s="197"/>
      <c r="AB105" s="197"/>
      <c r="AC105" s="197"/>
      <c r="AD105" s="197">
        <f>+L14/2</f>
        <v>9012174.3119266052</v>
      </c>
      <c r="AE105" s="197">
        <f>+L14</f>
        <v>18024348.62385321</v>
      </c>
      <c r="AF105" s="197">
        <f t="shared" ref="AF105:AK105" si="43">+AE105</f>
        <v>18024348.62385321</v>
      </c>
      <c r="AG105" s="197">
        <f t="shared" si="43"/>
        <v>18024348.62385321</v>
      </c>
      <c r="AH105" s="198">
        <f t="shared" si="43"/>
        <v>18024348.62385321</v>
      </c>
      <c r="AI105" s="198">
        <f t="shared" si="43"/>
        <v>18024348.62385321</v>
      </c>
      <c r="AJ105" s="198">
        <f t="shared" si="43"/>
        <v>18024348.62385321</v>
      </c>
      <c r="AK105" s="194">
        <f t="shared" si="43"/>
        <v>18024348.62385321</v>
      </c>
      <c r="AL105" s="194">
        <f>+AK105</f>
        <v>18024348.62385321</v>
      </c>
      <c r="AM105" s="427">
        <f>+AL105</f>
        <v>18024348.62385321</v>
      </c>
      <c r="AN105" s="427">
        <f t="shared" ref="AN105:AR111" si="44">+AM105</f>
        <v>18024348.62385321</v>
      </c>
      <c r="AO105" s="427">
        <f t="shared" si="44"/>
        <v>18024348.62385321</v>
      </c>
      <c r="AP105" s="427">
        <f t="shared" si="44"/>
        <v>18024348.62385321</v>
      </c>
      <c r="AQ105" s="427">
        <f t="shared" si="44"/>
        <v>18024348.62385321</v>
      </c>
      <c r="AR105" s="427">
        <f t="shared" si="44"/>
        <v>18024348.62385321</v>
      </c>
      <c r="AS105" s="843">
        <f>SUM(E105:AR105)</f>
        <v>261353055.04587153</v>
      </c>
      <c r="AT105" s="411"/>
      <c r="AU105" s="411"/>
      <c r="AV105" s="820"/>
      <c r="AW105" s="41"/>
      <c r="AX105" s="41"/>
    </row>
    <row r="106" spans="1:50" ht="12.75" x14ac:dyDescent="0.2">
      <c r="A106" s="844" t="s">
        <v>384</v>
      </c>
      <c r="B106" s="845"/>
      <c r="C106" s="845"/>
      <c r="D106" s="845"/>
      <c r="E106" s="845"/>
      <c r="F106" s="845"/>
      <c r="G106" s="845"/>
      <c r="H106" s="845"/>
      <c r="I106" s="845"/>
      <c r="J106" s="845"/>
      <c r="K106" s="845"/>
      <c r="L106" s="845"/>
      <c r="M106" s="845"/>
      <c r="N106" s="845"/>
      <c r="O106" s="845"/>
      <c r="P106" s="845"/>
      <c r="Q106" s="845"/>
      <c r="R106" s="845"/>
      <c r="S106" s="845"/>
      <c r="T106" s="845"/>
      <c r="U106" s="845"/>
      <c r="V106" s="845"/>
      <c r="W106" s="845"/>
      <c r="X106" s="845"/>
      <c r="Y106" s="50"/>
      <c r="Z106" s="50"/>
      <c r="AA106" s="203"/>
      <c r="AB106" s="203"/>
      <c r="AC106" s="203"/>
      <c r="AD106" s="203"/>
      <c r="AE106" s="203">
        <f>+M14/2</f>
        <v>12638838.640043173</v>
      </c>
      <c r="AF106" s="203">
        <f>+M14</f>
        <v>25277677.280086346</v>
      </c>
      <c r="AG106" s="203">
        <f>+AF106</f>
        <v>25277677.280086346</v>
      </c>
      <c r="AH106" s="204">
        <f>+AG106</f>
        <v>25277677.280086346</v>
      </c>
      <c r="AI106" s="204">
        <f>+AH106</f>
        <v>25277677.280086346</v>
      </c>
      <c r="AJ106" s="204">
        <f>+AI106</f>
        <v>25277677.280086346</v>
      </c>
      <c r="AK106" s="203">
        <f>+AJ106</f>
        <v>25277677.280086346</v>
      </c>
      <c r="AL106" s="203">
        <f t="shared" ref="AL106:AM111" si="45">+AK106</f>
        <v>25277677.280086346</v>
      </c>
      <c r="AM106" s="846">
        <f t="shared" si="45"/>
        <v>25277677.280086346</v>
      </c>
      <c r="AN106" s="846">
        <f t="shared" si="44"/>
        <v>25277677.280086346</v>
      </c>
      <c r="AO106" s="846">
        <f t="shared" si="44"/>
        <v>25277677.280086346</v>
      </c>
      <c r="AP106" s="846">
        <f t="shared" si="44"/>
        <v>25277677.280086346</v>
      </c>
      <c r="AQ106" s="846">
        <f t="shared" si="44"/>
        <v>25277677.280086346</v>
      </c>
      <c r="AR106" s="846">
        <f t="shared" si="44"/>
        <v>25277677.280086346</v>
      </c>
      <c r="AS106" s="847">
        <f t="shared" ref="AS106:AS119" si="46">SUM(E106:AR106)</f>
        <v>341248643.2811656</v>
      </c>
      <c r="AT106" s="411"/>
      <c r="AU106" s="411"/>
      <c r="AV106" s="848"/>
      <c r="AW106" s="849"/>
      <c r="AX106" s="849"/>
    </row>
    <row r="107" spans="1:50" ht="12.75" x14ac:dyDescent="0.2">
      <c r="A107" s="844" t="s">
        <v>385</v>
      </c>
      <c r="B107" s="845"/>
      <c r="C107" s="845"/>
      <c r="D107" s="845"/>
      <c r="E107" s="845"/>
      <c r="F107" s="845"/>
      <c r="G107" s="845"/>
      <c r="H107" s="845"/>
      <c r="I107" s="845"/>
      <c r="J107" s="845"/>
      <c r="K107" s="845"/>
      <c r="L107" s="845"/>
      <c r="M107" s="845"/>
      <c r="N107" s="845"/>
      <c r="O107" s="845"/>
      <c r="P107" s="845"/>
      <c r="Q107" s="845"/>
      <c r="R107" s="845"/>
      <c r="S107" s="845"/>
      <c r="T107" s="845"/>
      <c r="U107" s="845"/>
      <c r="V107" s="845"/>
      <c r="W107" s="845"/>
      <c r="X107" s="845"/>
      <c r="Y107" s="845"/>
      <c r="Z107" s="845"/>
      <c r="AA107" s="203"/>
      <c r="AB107" s="203"/>
      <c r="AC107" s="203"/>
      <c r="AD107" s="203"/>
      <c r="AE107" s="203"/>
      <c r="AF107" s="203">
        <f>+N14/2</f>
        <v>17574502.428494334</v>
      </c>
      <c r="AG107" s="203">
        <f>+N14</f>
        <v>35149004.856988668</v>
      </c>
      <c r="AH107" s="204">
        <f>+AG107</f>
        <v>35149004.856988668</v>
      </c>
      <c r="AI107" s="204">
        <f>+AH107</f>
        <v>35149004.856988668</v>
      </c>
      <c r="AJ107" s="204">
        <f>+AI107</f>
        <v>35149004.856988668</v>
      </c>
      <c r="AK107" s="203">
        <f>+AJ107</f>
        <v>35149004.856988668</v>
      </c>
      <c r="AL107" s="203">
        <f t="shared" si="45"/>
        <v>35149004.856988668</v>
      </c>
      <c r="AM107" s="846">
        <f t="shared" si="45"/>
        <v>35149004.856988668</v>
      </c>
      <c r="AN107" s="846">
        <f t="shared" si="44"/>
        <v>35149004.856988668</v>
      </c>
      <c r="AO107" s="846">
        <f t="shared" si="44"/>
        <v>35149004.856988668</v>
      </c>
      <c r="AP107" s="846">
        <f t="shared" si="44"/>
        <v>35149004.856988668</v>
      </c>
      <c r="AQ107" s="846">
        <f t="shared" si="44"/>
        <v>35149004.856988668</v>
      </c>
      <c r="AR107" s="846">
        <f t="shared" si="44"/>
        <v>35149004.856988668</v>
      </c>
      <c r="AS107" s="847">
        <f t="shared" si="46"/>
        <v>439362560.71235836</v>
      </c>
      <c r="AT107" s="411"/>
      <c r="AU107" s="411"/>
      <c r="AV107" s="848"/>
      <c r="AW107" s="849"/>
      <c r="AX107" s="849"/>
    </row>
    <row r="108" spans="1:50" ht="12.75" x14ac:dyDescent="0.2">
      <c r="A108" s="844" t="s">
        <v>386</v>
      </c>
      <c r="B108" s="845"/>
      <c r="C108" s="845"/>
      <c r="D108" s="845"/>
      <c r="E108" s="845"/>
      <c r="F108" s="845"/>
      <c r="G108" s="845"/>
      <c r="H108" s="845"/>
      <c r="I108" s="845"/>
      <c r="J108" s="845"/>
      <c r="K108" s="845"/>
      <c r="L108" s="845"/>
      <c r="M108" s="845"/>
      <c r="N108" s="845"/>
      <c r="O108" s="845"/>
      <c r="P108" s="845"/>
      <c r="Q108" s="845"/>
      <c r="R108" s="845"/>
      <c r="S108" s="845"/>
      <c r="T108" s="845"/>
      <c r="U108" s="845"/>
      <c r="V108" s="845"/>
      <c r="W108" s="845"/>
      <c r="X108" s="845"/>
      <c r="Y108" s="845"/>
      <c r="Z108" s="845"/>
      <c r="AA108" s="203"/>
      <c r="AB108" s="203"/>
      <c r="AC108" s="203"/>
      <c r="AD108" s="203"/>
      <c r="AE108" s="203"/>
      <c r="AF108" s="203"/>
      <c r="AG108" s="203">
        <f>+O14/2</f>
        <v>21583685.375067458</v>
      </c>
      <c r="AH108" s="204">
        <f>+O14</f>
        <v>43167370.750134915</v>
      </c>
      <c r="AI108" s="204">
        <f>+AH108</f>
        <v>43167370.750134915</v>
      </c>
      <c r="AJ108" s="204">
        <f>+AI108</f>
        <v>43167370.750134915</v>
      </c>
      <c r="AK108" s="203">
        <f>+AJ108</f>
        <v>43167370.750134915</v>
      </c>
      <c r="AL108" s="203">
        <f t="shared" si="45"/>
        <v>43167370.750134915</v>
      </c>
      <c r="AM108" s="846">
        <f t="shared" si="45"/>
        <v>43167370.750134915</v>
      </c>
      <c r="AN108" s="846">
        <f t="shared" si="44"/>
        <v>43167370.750134915</v>
      </c>
      <c r="AO108" s="846">
        <f t="shared" si="44"/>
        <v>43167370.750134915</v>
      </c>
      <c r="AP108" s="846">
        <f t="shared" si="44"/>
        <v>43167370.750134915</v>
      </c>
      <c r="AQ108" s="846">
        <f t="shared" si="44"/>
        <v>43167370.750134915</v>
      </c>
      <c r="AR108" s="846">
        <f t="shared" si="44"/>
        <v>43167370.750134915</v>
      </c>
      <c r="AS108" s="847">
        <f t="shared" si="46"/>
        <v>496424763.62655163</v>
      </c>
      <c r="AT108" s="411"/>
      <c r="AU108" s="411"/>
      <c r="AV108" s="848"/>
      <c r="AW108" s="849"/>
      <c r="AX108" s="849"/>
    </row>
    <row r="109" spans="1:50" ht="12.75" x14ac:dyDescent="0.2">
      <c r="A109" s="844" t="s">
        <v>387</v>
      </c>
      <c r="B109" s="845"/>
      <c r="C109" s="845"/>
      <c r="D109" s="845"/>
      <c r="E109" s="845"/>
      <c r="F109" s="845"/>
      <c r="G109" s="845"/>
      <c r="H109" s="845"/>
      <c r="I109" s="845"/>
      <c r="J109" s="845"/>
      <c r="K109" s="845"/>
      <c r="L109" s="845"/>
      <c r="M109" s="845"/>
      <c r="N109" s="845"/>
      <c r="O109" s="845"/>
      <c r="P109" s="845"/>
      <c r="Q109" s="845"/>
      <c r="R109" s="845"/>
      <c r="S109" s="845"/>
      <c r="T109" s="845"/>
      <c r="U109" s="845"/>
      <c r="V109" s="845"/>
      <c r="W109" s="845"/>
      <c r="X109" s="845"/>
      <c r="Y109" s="845"/>
      <c r="Z109" s="845"/>
      <c r="AA109" s="203"/>
      <c r="AB109" s="203"/>
      <c r="AC109" s="203"/>
      <c r="AD109" s="203"/>
      <c r="AE109" s="203"/>
      <c r="AF109" s="203"/>
      <c r="AG109" s="203"/>
      <c r="AH109" s="204">
        <f>+P14/2</f>
        <v>22209999.5</v>
      </c>
      <c r="AI109" s="204">
        <f>+P14</f>
        <v>44419999</v>
      </c>
      <c r="AJ109" s="204">
        <f>+AI109</f>
        <v>44419999</v>
      </c>
      <c r="AK109" s="203">
        <f>+AJ109</f>
        <v>44419999</v>
      </c>
      <c r="AL109" s="203">
        <f t="shared" si="45"/>
        <v>44419999</v>
      </c>
      <c r="AM109" s="846">
        <f t="shared" si="45"/>
        <v>44419999</v>
      </c>
      <c r="AN109" s="846">
        <f t="shared" si="44"/>
        <v>44419999</v>
      </c>
      <c r="AO109" s="846">
        <f t="shared" si="44"/>
        <v>44419999</v>
      </c>
      <c r="AP109" s="846">
        <f t="shared" si="44"/>
        <v>44419999</v>
      </c>
      <c r="AQ109" s="846">
        <f t="shared" si="44"/>
        <v>44419999</v>
      </c>
      <c r="AR109" s="846">
        <f t="shared" si="44"/>
        <v>44419999</v>
      </c>
      <c r="AS109" s="847">
        <f t="shared" si="46"/>
        <v>466409989.5</v>
      </c>
      <c r="AT109" s="411"/>
      <c r="AU109" s="411"/>
      <c r="AV109" s="848"/>
      <c r="AW109" s="849"/>
      <c r="AX109" s="849"/>
    </row>
    <row r="110" spans="1:50" ht="12.75" x14ac:dyDescent="0.2">
      <c r="A110" s="844" t="s">
        <v>388</v>
      </c>
      <c r="B110" s="845"/>
      <c r="C110" s="845"/>
      <c r="D110" s="845"/>
      <c r="E110" s="845"/>
      <c r="F110" s="845"/>
      <c r="G110" s="845"/>
      <c r="H110" s="845"/>
      <c r="I110" s="845"/>
      <c r="J110" s="845"/>
      <c r="K110" s="845"/>
      <c r="L110" s="845"/>
      <c r="M110" s="845"/>
      <c r="N110" s="845"/>
      <c r="O110" s="845"/>
      <c r="P110" s="845"/>
      <c r="Q110" s="845"/>
      <c r="R110" s="845"/>
      <c r="S110" s="845"/>
      <c r="T110" s="845"/>
      <c r="U110" s="845"/>
      <c r="V110" s="845"/>
      <c r="W110" s="845"/>
      <c r="X110" s="845"/>
      <c r="Y110" s="845"/>
      <c r="Z110" s="845"/>
      <c r="AA110" s="203"/>
      <c r="AB110" s="203"/>
      <c r="AC110" s="203"/>
      <c r="AD110" s="203"/>
      <c r="AE110" s="203"/>
      <c r="AF110" s="203"/>
      <c r="AG110" s="203"/>
      <c r="AH110" s="204"/>
      <c r="AI110" s="204">
        <f>Q14/2</f>
        <v>25557712.5</v>
      </c>
      <c r="AJ110" s="204">
        <f>Q14</f>
        <v>51115425</v>
      </c>
      <c r="AK110" s="203">
        <f>AJ110</f>
        <v>51115425</v>
      </c>
      <c r="AL110" s="203">
        <f t="shared" si="45"/>
        <v>51115425</v>
      </c>
      <c r="AM110" s="846">
        <f t="shared" si="45"/>
        <v>51115425</v>
      </c>
      <c r="AN110" s="846">
        <f t="shared" si="44"/>
        <v>51115425</v>
      </c>
      <c r="AO110" s="846">
        <f t="shared" si="44"/>
        <v>51115425</v>
      </c>
      <c r="AP110" s="846">
        <f t="shared" si="44"/>
        <v>51115425</v>
      </c>
      <c r="AQ110" s="846">
        <f t="shared" si="44"/>
        <v>51115425</v>
      </c>
      <c r="AR110" s="846">
        <f t="shared" si="44"/>
        <v>51115425</v>
      </c>
      <c r="AS110" s="847">
        <f t="shared" si="46"/>
        <v>485596537.5</v>
      </c>
      <c r="AT110" s="411"/>
      <c r="AU110" s="411"/>
      <c r="AV110" s="848"/>
      <c r="AW110" s="849"/>
      <c r="AX110" s="849"/>
    </row>
    <row r="111" spans="1:50" s="411" customFormat="1" ht="12.75" x14ac:dyDescent="0.2">
      <c r="A111" s="844" t="s">
        <v>389</v>
      </c>
      <c r="B111" s="845"/>
      <c r="C111" s="845"/>
      <c r="D111" s="845"/>
      <c r="E111" s="845"/>
      <c r="F111" s="845"/>
      <c r="G111" s="845"/>
      <c r="H111" s="845"/>
      <c r="I111" s="845"/>
      <c r="J111" s="845"/>
      <c r="K111" s="845"/>
      <c r="L111" s="845"/>
      <c r="M111" s="845"/>
      <c r="N111" s="845"/>
      <c r="O111" s="845"/>
      <c r="P111" s="845"/>
      <c r="Q111" s="845"/>
      <c r="R111" s="845"/>
      <c r="S111" s="845"/>
      <c r="T111" s="845"/>
      <c r="U111" s="845"/>
      <c r="V111" s="845"/>
      <c r="W111" s="845"/>
      <c r="X111" s="845"/>
      <c r="Y111" s="845"/>
      <c r="Z111" s="845"/>
      <c r="AA111" s="203"/>
      <c r="AB111" s="203"/>
      <c r="AC111" s="203"/>
      <c r="AD111" s="203"/>
      <c r="AE111" s="203"/>
      <c r="AF111" s="203"/>
      <c r="AG111" s="203"/>
      <c r="AH111" s="204"/>
      <c r="AI111" s="204"/>
      <c r="AJ111" s="204">
        <f>R14/2</f>
        <v>14378823</v>
      </c>
      <c r="AK111" s="203">
        <f>R14</f>
        <v>28757646</v>
      </c>
      <c r="AL111" s="203">
        <f t="shared" si="45"/>
        <v>28757646</v>
      </c>
      <c r="AM111" s="846">
        <f t="shared" si="45"/>
        <v>28757646</v>
      </c>
      <c r="AN111" s="846">
        <f t="shared" si="44"/>
        <v>28757646</v>
      </c>
      <c r="AO111" s="846">
        <f t="shared" si="44"/>
        <v>28757646</v>
      </c>
      <c r="AP111" s="846">
        <f t="shared" si="44"/>
        <v>28757646</v>
      </c>
      <c r="AQ111" s="846">
        <f t="shared" si="44"/>
        <v>28757646</v>
      </c>
      <c r="AR111" s="846">
        <f t="shared" si="44"/>
        <v>28757646</v>
      </c>
      <c r="AS111" s="847">
        <f t="shared" si="46"/>
        <v>244439991</v>
      </c>
    </row>
    <row r="112" spans="1:50" s="411" customFormat="1" ht="12.75" x14ac:dyDescent="0.2">
      <c r="A112" s="844" t="s">
        <v>390</v>
      </c>
      <c r="B112" s="845"/>
      <c r="C112" s="845"/>
      <c r="D112" s="845"/>
      <c r="E112" s="845"/>
      <c r="F112" s="845"/>
      <c r="G112" s="845"/>
      <c r="H112" s="845"/>
      <c r="I112" s="845"/>
      <c r="J112" s="845"/>
      <c r="K112" s="845"/>
      <c r="L112" s="845"/>
      <c r="M112" s="845"/>
      <c r="N112" s="845"/>
      <c r="O112" s="845"/>
      <c r="P112" s="845"/>
      <c r="Q112" s="845"/>
      <c r="R112" s="845"/>
      <c r="S112" s="845"/>
      <c r="T112" s="845"/>
      <c r="U112" s="845"/>
      <c r="V112" s="845"/>
      <c r="W112" s="845"/>
      <c r="X112" s="845"/>
      <c r="Y112" s="845"/>
      <c r="Z112" s="845"/>
      <c r="AA112" s="203"/>
      <c r="AB112" s="203"/>
      <c r="AC112" s="203"/>
      <c r="AD112" s="203"/>
      <c r="AE112" s="203"/>
      <c r="AF112" s="203"/>
      <c r="AG112" s="203"/>
      <c r="AH112" s="204"/>
      <c r="AI112" s="204"/>
      <c r="AJ112" s="204"/>
      <c r="AK112" s="203">
        <f>S14/2</f>
        <v>13728289.5</v>
      </c>
      <c r="AL112" s="203">
        <f>+S14</f>
        <v>27456579</v>
      </c>
      <c r="AM112" s="846">
        <f>+AL112</f>
        <v>27456579</v>
      </c>
      <c r="AN112" s="846">
        <f t="shared" ref="AN112:AR117" si="47">+AM112</f>
        <v>27456579</v>
      </c>
      <c r="AO112" s="846">
        <f t="shared" si="47"/>
        <v>27456579</v>
      </c>
      <c r="AP112" s="846">
        <f t="shared" si="47"/>
        <v>27456579</v>
      </c>
      <c r="AQ112" s="846">
        <f t="shared" si="47"/>
        <v>27456579</v>
      </c>
      <c r="AR112" s="846">
        <f t="shared" si="47"/>
        <v>27456579</v>
      </c>
      <c r="AS112" s="847">
        <f t="shared" si="46"/>
        <v>205924342.5</v>
      </c>
    </row>
    <row r="113" spans="1:50" ht="12.75" x14ac:dyDescent="0.2">
      <c r="A113" s="844" t="s">
        <v>391</v>
      </c>
      <c r="B113" s="850"/>
      <c r="C113" s="850"/>
      <c r="D113" s="850"/>
      <c r="E113" s="850"/>
      <c r="F113" s="850"/>
      <c r="G113" s="850"/>
      <c r="H113" s="850"/>
      <c r="I113" s="850"/>
      <c r="J113" s="850"/>
      <c r="K113" s="850"/>
      <c r="L113" s="850"/>
      <c r="M113" s="850"/>
      <c r="N113" s="850"/>
      <c r="O113" s="850"/>
      <c r="P113" s="850"/>
      <c r="Q113" s="850"/>
      <c r="R113" s="850"/>
      <c r="S113" s="850"/>
      <c r="T113" s="850"/>
      <c r="U113" s="850"/>
      <c r="V113" s="850"/>
      <c r="W113" s="850"/>
      <c r="X113" s="850"/>
      <c r="Y113" s="850"/>
      <c r="Z113" s="850"/>
      <c r="AA113" s="851"/>
      <c r="AB113" s="203"/>
      <c r="AC113" s="203"/>
      <c r="AD113" s="203"/>
      <c r="AE113" s="203"/>
      <c r="AF113" s="203"/>
      <c r="AG113" s="203"/>
      <c r="AH113" s="204"/>
      <c r="AI113" s="204"/>
      <c r="AJ113" s="204"/>
      <c r="AK113" s="203"/>
      <c r="AL113" s="203">
        <f>T14/2</f>
        <v>24360523.5</v>
      </c>
      <c r="AM113" s="846">
        <f>T14</f>
        <v>48721047</v>
      </c>
      <c r="AN113" s="846">
        <f>AM113</f>
        <v>48721047</v>
      </c>
      <c r="AO113" s="846">
        <f t="shared" si="47"/>
        <v>48721047</v>
      </c>
      <c r="AP113" s="846">
        <f t="shared" si="47"/>
        <v>48721047</v>
      </c>
      <c r="AQ113" s="846">
        <f t="shared" si="47"/>
        <v>48721047</v>
      </c>
      <c r="AR113" s="846">
        <f t="shared" si="47"/>
        <v>48721047</v>
      </c>
      <c r="AS113" s="847">
        <f t="shared" si="46"/>
        <v>316686805.5</v>
      </c>
      <c r="AT113" s="411"/>
      <c r="AU113" s="411"/>
      <c r="AV113" s="848"/>
      <c r="AW113" s="849"/>
      <c r="AX113" s="849"/>
    </row>
    <row r="114" spans="1:50" ht="12.75" x14ac:dyDescent="0.2">
      <c r="A114" s="842" t="s">
        <v>392</v>
      </c>
      <c r="B114" s="850"/>
      <c r="C114" s="850"/>
      <c r="D114" s="850"/>
      <c r="E114" s="850"/>
      <c r="F114" s="850"/>
      <c r="G114" s="850"/>
      <c r="H114" s="850"/>
      <c r="I114" s="850"/>
      <c r="J114" s="850"/>
      <c r="K114" s="850"/>
      <c r="L114" s="850"/>
      <c r="M114" s="850"/>
      <c r="N114" s="850"/>
      <c r="O114" s="850"/>
      <c r="P114" s="850"/>
      <c r="Q114" s="850"/>
      <c r="R114" s="850"/>
      <c r="S114" s="850"/>
      <c r="T114" s="850"/>
      <c r="U114" s="850"/>
      <c r="V114" s="850"/>
      <c r="W114" s="850"/>
      <c r="X114" s="850"/>
      <c r="Y114" s="850"/>
      <c r="Z114" s="850"/>
      <c r="AA114" s="851"/>
      <c r="AB114" s="851"/>
      <c r="AC114" s="851"/>
      <c r="AD114" s="851"/>
      <c r="AE114" s="851"/>
      <c r="AF114" s="851"/>
      <c r="AG114" s="851"/>
      <c r="AH114" s="852"/>
      <c r="AI114" s="852"/>
      <c r="AJ114" s="852"/>
      <c r="AK114" s="851"/>
      <c r="AL114" s="851"/>
      <c r="AM114" s="846">
        <f>U14/2</f>
        <v>25362001.5</v>
      </c>
      <c r="AN114" s="846">
        <f>U14</f>
        <v>50724003</v>
      </c>
      <c r="AO114" s="846">
        <f t="shared" si="47"/>
        <v>50724003</v>
      </c>
      <c r="AP114" s="846">
        <f t="shared" si="47"/>
        <v>50724003</v>
      </c>
      <c r="AQ114" s="846">
        <f t="shared" si="47"/>
        <v>50724003</v>
      </c>
      <c r="AR114" s="846">
        <f t="shared" si="47"/>
        <v>50724003</v>
      </c>
      <c r="AS114" s="847">
        <f t="shared" si="46"/>
        <v>278982016.5</v>
      </c>
      <c r="AT114" s="411"/>
      <c r="AU114" s="411"/>
      <c r="AV114" s="848"/>
      <c r="AW114" s="849"/>
      <c r="AX114" s="849"/>
    </row>
    <row r="115" spans="1:50" ht="12.75" x14ac:dyDescent="0.2">
      <c r="A115" s="844" t="s">
        <v>393</v>
      </c>
      <c r="B115" s="850"/>
      <c r="C115" s="850"/>
      <c r="D115" s="850"/>
      <c r="E115" s="850"/>
      <c r="F115" s="850"/>
      <c r="G115" s="850"/>
      <c r="H115" s="850"/>
      <c r="I115" s="850"/>
      <c r="J115" s="850"/>
      <c r="K115" s="850"/>
      <c r="L115" s="850"/>
      <c r="M115" s="850"/>
      <c r="N115" s="850"/>
      <c r="O115" s="850"/>
      <c r="P115" s="850"/>
      <c r="Q115" s="850"/>
      <c r="R115" s="850"/>
      <c r="S115" s="850"/>
      <c r="T115" s="850"/>
      <c r="U115" s="850"/>
      <c r="V115" s="850"/>
      <c r="W115" s="850"/>
      <c r="X115" s="850"/>
      <c r="Y115" s="850"/>
      <c r="Z115" s="850"/>
      <c r="AA115" s="851"/>
      <c r="AB115" s="851"/>
      <c r="AC115" s="851"/>
      <c r="AD115" s="851"/>
      <c r="AE115" s="851"/>
      <c r="AF115" s="851"/>
      <c r="AG115" s="851"/>
      <c r="AH115" s="852"/>
      <c r="AI115" s="852"/>
      <c r="AJ115" s="852"/>
      <c r="AK115" s="851"/>
      <c r="AL115" s="851"/>
      <c r="AM115" s="427"/>
      <c r="AN115" s="427">
        <f>V14/2</f>
        <v>26293724</v>
      </c>
      <c r="AO115" s="427">
        <f>V14</f>
        <v>52587448</v>
      </c>
      <c r="AP115" s="427">
        <f t="shared" si="47"/>
        <v>52587448</v>
      </c>
      <c r="AQ115" s="427">
        <f t="shared" si="47"/>
        <v>52587448</v>
      </c>
      <c r="AR115" s="427">
        <f t="shared" si="47"/>
        <v>52587448</v>
      </c>
      <c r="AS115" s="847">
        <f t="shared" si="46"/>
        <v>236643516</v>
      </c>
      <c r="AT115" s="411"/>
      <c r="AU115" s="411"/>
      <c r="AV115" s="848"/>
      <c r="AW115" s="849"/>
      <c r="AX115" s="849"/>
    </row>
    <row r="116" spans="1:50" ht="12.75" x14ac:dyDescent="0.2">
      <c r="A116" s="842" t="s">
        <v>394</v>
      </c>
      <c r="B116" s="850"/>
      <c r="C116" s="850"/>
      <c r="D116" s="850"/>
      <c r="E116" s="850"/>
      <c r="F116" s="850"/>
      <c r="G116" s="850"/>
      <c r="H116" s="850"/>
      <c r="I116" s="850"/>
      <c r="J116" s="850"/>
      <c r="K116" s="850"/>
      <c r="L116" s="850"/>
      <c r="M116" s="850"/>
      <c r="N116" s="850"/>
      <c r="O116" s="850"/>
      <c r="P116" s="850"/>
      <c r="Q116" s="850"/>
      <c r="R116" s="850"/>
      <c r="S116" s="850"/>
      <c r="T116" s="850"/>
      <c r="U116" s="850"/>
      <c r="V116" s="850"/>
      <c r="W116" s="850"/>
      <c r="X116" s="850"/>
      <c r="Y116" s="850"/>
      <c r="Z116" s="850"/>
      <c r="AA116" s="851"/>
      <c r="AB116" s="851"/>
      <c r="AC116" s="851"/>
      <c r="AD116" s="851"/>
      <c r="AE116" s="851"/>
      <c r="AF116" s="851"/>
      <c r="AG116" s="851"/>
      <c r="AH116" s="852"/>
      <c r="AI116" s="852"/>
      <c r="AJ116" s="852"/>
      <c r="AK116" s="851"/>
      <c r="AL116" s="851"/>
      <c r="AM116" s="427"/>
      <c r="AN116" s="427"/>
      <c r="AO116" s="427">
        <f>W14/2</f>
        <v>34143330.5</v>
      </c>
      <c r="AP116" s="427">
        <f>W14</f>
        <v>68286661</v>
      </c>
      <c r="AQ116" s="427">
        <f t="shared" si="47"/>
        <v>68286661</v>
      </c>
      <c r="AR116" s="427">
        <f t="shared" si="47"/>
        <v>68286661</v>
      </c>
      <c r="AS116" s="847">
        <f t="shared" si="46"/>
        <v>239003313.5</v>
      </c>
      <c r="AT116" s="411"/>
      <c r="AU116" s="411"/>
      <c r="AV116" s="848"/>
      <c r="AW116" s="849"/>
      <c r="AX116" s="849"/>
    </row>
    <row r="117" spans="1:50" ht="12.75" x14ac:dyDescent="0.2">
      <c r="A117" s="844" t="s">
        <v>395</v>
      </c>
      <c r="B117" s="850"/>
      <c r="C117" s="850"/>
      <c r="D117" s="850"/>
      <c r="E117" s="850"/>
      <c r="F117" s="850"/>
      <c r="G117" s="850"/>
      <c r="H117" s="850"/>
      <c r="I117" s="850"/>
      <c r="J117" s="850"/>
      <c r="K117" s="850"/>
      <c r="L117" s="850"/>
      <c r="M117" s="850"/>
      <c r="N117" s="850"/>
      <c r="O117" s="850"/>
      <c r="P117" s="850"/>
      <c r="Q117" s="850"/>
      <c r="R117" s="850"/>
      <c r="S117" s="850"/>
      <c r="T117" s="850"/>
      <c r="U117" s="850"/>
      <c r="V117" s="850"/>
      <c r="W117" s="850"/>
      <c r="X117" s="850"/>
      <c r="Y117" s="850"/>
      <c r="Z117" s="850"/>
      <c r="AA117" s="851"/>
      <c r="AB117" s="851"/>
      <c r="AC117" s="851"/>
      <c r="AD117" s="851"/>
      <c r="AE117" s="851"/>
      <c r="AF117" s="851"/>
      <c r="AG117" s="851"/>
      <c r="AH117" s="852"/>
      <c r="AI117" s="852"/>
      <c r="AJ117" s="852"/>
      <c r="AK117" s="851"/>
      <c r="AL117" s="851"/>
      <c r="AM117" s="427"/>
      <c r="AN117" s="427"/>
      <c r="AO117" s="427"/>
      <c r="AP117" s="427">
        <f>X14/2</f>
        <v>23288495</v>
      </c>
      <c r="AQ117" s="427">
        <f>X14</f>
        <v>46576990</v>
      </c>
      <c r="AR117" s="427">
        <f t="shared" si="47"/>
        <v>46576990</v>
      </c>
      <c r="AS117" s="847">
        <f t="shared" si="46"/>
        <v>116442475</v>
      </c>
      <c r="AT117" s="411"/>
      <c r="AU117" s="411"/>
      <c r="AV117" s="848"/>
      <c r="AW117" s="849"/>
      <c r="AX117" s="849"/>
    </row>
    <row r="118" spans="1:50" ht="12.75" x14ac:dyDescent="0.2">
      <c r="A118" s="842" t="s">
        <v>396</v>
      </c>
      <c r="B118" s="850"/>
      <c r="C118" s="850"/>
      <c r="D118" s="850"/>
      <c r="E118" s="850"/>
      <c r="F118" s="850"/>
      <c r="G118" s="850"/>
      <c r="H118" s="850"/>
      <c r="I118" s="850"/>
      <c r="J118" s="850"/>
      <c r="K118" s="850"/>
      <c r="L118" s="850"/>
      <c r="M118" s="850"/>
      <c r="N118" s="850"/>
      <c r="O118" s="850"/>
      <c r="P118" s="850"/>
      <c r="Q118" s="850"/>
      <c r="R118" s="850"/>
      <c r="S118" s="850"/>
      <c r="T118" s="850"/>
      <c r="U118" s="850"/>
      <c r="V118" s="850"/>
      <c r="W118" s="850"/>
      <c r="X118" s="850"/>
      <c r="Y118" s="850"/>
      <c r="Z118" s="850"/>
      <c r="AA118" s="851"/>
      <c r="AB118" s="851"/>
      <c r="AC118" s="851"/>
      <c r="AD118" s="851"/>
      <c r="AE118" s="851"/>
      <c r="AF118" s="851"/>
      <c r="AG118" s="851"/>
      <c r="AH118" s="852"/>
      <c r="AI118" s="852"/>
      <c r="AJ118" s="852"/>
      <c r="AK118" s="851"/>
      <c r="AL118" s="851"/>
      <c r="AM118" s="427"/>
      <c r="AN118" s="427"/>
      <c r="AO118" s="427"/>
      <c r="AP118" s="427"/>
      <c r="AQ118" s="427">
        <f>Y14/2</f>
        <v>17664847</v>
      </c>
      <c r="AR118" s="427">
        <f>Y14</f>
        <v>35329694</v>
      </c>
      <c r="AS118" s="847">
        <f t="shared" si="46"/>
        <v>52994541</v>
      </c>
      <c r="AT118" s="411"/>
      <c r="AU118" s="411"/>
      <c r="AV118" s="848"/>
      <c r="AW118" s="849"/>
      <c r="AX118" s="849"/>
    </row>
    <row r="119" spans="1:50" ht="13.5" thickBot="1" x14ac:dyDescent="0.25">
      <c r="A119" s="844" t="s">
        <v>397</v>
      </c>
      <c r="B119" s="850"/>
      <c r="C119" s="850"/>
      <c r="D119" s="850"/>
      <c r="E119" s="850"/>
      <c r="F119" s="850"/>
      <c r="G119" s="850"/>
      <c r="H119" s="850"/>
      <c r="I119" s="850"/>
      <c r="J119" s="850"/>
      <c r="K119" s="850"/>
      <c r="L119" s="850"/>
      <c r="M119" s="850"/>
      <c r="N119" s="850"/>
      <c r="O119" s="850"/>
      <c r="P119" s="850"/>
      <c r="Q119" s="850"/>
      <c r="R119" s="850"/>
      <c r="S119" s="850"/>
      <c r="T119" s="850"/>
      <c r="U119" s="850"/>
      <c r="V119" s="850"/>
      <c r="W119" s="850"/>
      <c r="X119" s="850"/>
      <c r="Y119" s="850"/>
      <c r="Z119" s="850"/>
      <c r="AA119" s="851"/>
      <c r="AB119" s="851"/>
      <c r="AC119" s="851"/>
      <c r="AD119" s="851"/>
      <c r="AE119" s="851"/>
      <c r="AF119" s="851"/>
      <c r="AG119" s="851"/>
      <c r="AH119" s="852"/>
      <c r="AI119" s="852"/>
      <c r="AJ119" s="852"/>
      <c r="AK119" s="851"/>
      <c r="AL119" s="851"/>
      <c r="AM119" s="427"/>
      <c r="AN119" s="427"/>
      <c r="AO119" s="427"/>
      <c r="AP119" s="427"/>
      <c r="AQ119" s="427"/>
      <c r="AR119" s="427">
        <f>Z14/2</f>
        <v>30583825.257783752</v>
      </c>
      <c r="AS119" s="853">
        <f t="shared" si="46"/>
        <v>30583825.257783752</v>
      </c>
      <c r="AT119" s="411"/>
      <c r="AU119" s="411"/>
      <c r="AV119" s="848"/>
      <c r="AW119" s="849"/>
      <c r="AX119" s="849"/>
    </row>
    <row r="120" spans="1:50" ht="12.75" x14ac:dyDescent="0.2">
      <c r="A120" s="854" t="s">
        <v>398</v>
      </c>
      <c r="B120" s="459"/>
      <c r="C120" s="459"/>
      <c r="D120" s="459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459"/>
      <c r="R120" s="459"/>
      <c r="S120" s="459"/>
      <c r="T120" s="459"/>
      <c r="U120" s="459"/>
      <c r="V120" s="459"/>
      <c r="W120" s="459"/>
      <c r="X120" s="459"/>
      <c r="Y120" s="459"/>
      <c r="Z120" s="459"/>
      <c r="AA120" s="855"/>
      <c r="AB120" s="855"/>
      <c r="AC120" s="855">
        <f>+N10/2</f>
        <v>16123.583378305451</v>
      </c>
      <c r="AD120" s="855">
        <f>+N10</f>
        <v>32247.166756610903</v>
      </c>
      <c r="AE120" s="855">
        <f t="shared" ref="AE120:AM135" si="48">+AD120</f>
        <v>32247.166756610903</v>
      </c>
      <c r="AF120" s="855">
        <f t="shared" si="48"/>
        <v>32247.166756610903</v>
      </c>
      <c r="AG120" s="855">
        <f t="shared" si="48"/>
        <v>32247.166756610903</v>
      </c>
      <c r="AH120" s="856">
        <f t="shared" si="48"/>
        <v>32247.166756610903</v>
      </c>
      <c r="AI120" s="856">
        <f t="shared" si="48"/>
        <v>32247.166756610903</v>
      </c>
      <c r="AJ120" s="856">
        <f t="shared" si="48"/>
        <v>32247.166756610903</v>
      </c>
      <c r="AK120" s="855">
        <f t="shared" si="48"/>
        <v>32247.166756610903</v>
      </c>
      <c r="AL120" s="855">
        <f>+AK120</f>
        <v>32247.166756610903</v>
      </c>
      <c r="AM120" s="857">
        <f>+AL120</f>
        <v>32247.166756610903</v>
      </c>
      <c r="AN120" s="857">
        <f t="shared" ref="AN120:AR135" si="49">+AM120</f>
        <v>32247.166756610903</v>
      </c>
      <c r="AO120" s="857">
        <f t="shared" si="49"/>
        <v>32247.166756610903</v>
      </c>
      <c r="AP120" s="857">
        <f t="shared" si="49"/>
        <v>32247.166756610903</v>
      </c>
      <c r="AQ120" s="857">
        <f t="shared" si="49"/>
        <v>32247.166756610903</v>
      </c>
      <c r="AR120" s="857">
        <f t="shared" si="49"/>
        <v>32247.166756610903</v>
      </c>
      <c r="AS120" s="858">
        <f>SUM(E120:AR120)</f>
        <v>499831.08472746908</v>
      </c>
      <c r="AT120" s="411"/>
      <c r="AU120" s="411"/>
      <c r="AV120" s="848"/>
      <c r="AW120" s="849"/>
      <c r="AX120" s="849"/>
    </row>
    <row r="121" spans="1:50" ht="12.75" x14ac:dyDescent="0.2">
      <c r="A121" s="859" t="s">
        <v>399</v>
      </c>
      <c r="B121" s="860"/>
      <c r="C121" s="860"/>
      <c r="D121" s="860"/>
      <c r="E121" s="860"/>
      <c r="F121" s="860"/>
      <c r="G121" s="860"/>
      <c r="H121" s="860"/>
      <c r="I121" s="860"/>
      <c r="J121" s="860"/>
      <c r="K121" s="860"/>
      <c r="L121" s="860"/>
      <c r="M121" s="860"/>
      <c r="N121" s="860"/>
      <c r="O121" s="860"/>
      <c r="P121" s="860"/>
      <c r="Q121" s="860"/>
      <c r="R121" s="860"/>
      <c r="S121" s="860"/>
      <c r="T121" s="860"/>
      <c r="U121" s="860"/>
      <c r="V121" s="860"/>
      <c r="W121" s="860"/>
      <c r="X121" s="860"/>
      <c r="Y121" s="860"/>
      <c r="Z121" s="860"/>
      <c r="AA121" s="861"/>
      <c r="AB121" s="861"/>
      <c r="AC121" s="861"/>
      <c r="AD121" s="861">
        <f>+O10/2</f>
        <v>110553.69670804101</v>
      </c>
      <c r="AE121" s="861">
        <f>+O10</f>
        <v>221107.39341608202</v>
      </c>
      <c r="AF121" s="861">
        <f>+AE121</f>
        <v>221107.39341608202</v>
      </c>
      <c r="AG121" s="861">
        <f t="shared" si="48"/>
        <v>221107.39341608202</v>
      </c>
      <c r="AH121" s="862">
        <f>+AG121</f>
        <v>221107.39341608202</v>
      </c>
      <c r="AI121" s="862">
        <f>+AH121</f>
        <v>221107.39341608202</v>
      </c>
      <c r="AJ121" s="862">
        <f>+AI121</f>
        <v>221107.39341608202</v>
      </c>
      <c r="AK121" s="861">
        <f>+AJ121</f>
        <v>221107.39341608202</v>
      </c>
      <c r="AL121" s="861">
        <f t="shared" ref="AL121:AM124" si="50">+AK121</f>
        <v>221107.39341608202</v>
      </c>
      <c r="AM121" s="863">
        <f t="shared" si="50"/>
        <v>221107.39341608202</v>
      </c>
      <c r="AN121" s="863">
        <f t="shared" si="49"/>
        <v>221107.39341608202</v>
      </c>
      <c r="AO121" s="863">
        <f t="shared" si="49"/>
        <v>221107.39341608202</v>
      </c>
      <c r="AP121" s="863">
        <f t="shared" si="49"/>
        <v>221107.39341608202</v>
      </c>
      <c r="AQ121" s="863">
        <f t="shared" si="49"/>
        <v>221107.39341608202</v>
      </c>
      <c r="AR121" s="863">
        <f t="shared" si="49"/>
        <v>221107.39341608202</v>
      </c>
      <c r="AS121" s="864">
        <f t="shared" ref="AS121:AS124" si="51">SUM(E121:AR121)</f>
        <v>3206057.2045331891</v>
      </c>
      <c r="AT121" s="411"/>
      <c r="AU121" s="411"/>
      <c r="AV121" s="848"/>
      <c r="AW121" s="849"/>
      <c r="AX121" s="849"/>
    </row>
    <row r="122" spans="1:50" ht="12.75" x14ac:dyDescent="0.2">
      <c r="A122" s="859" t="s">
        <v>400</v>
      </c>
      <c r="B122" s="860"/>
      <c r="C122" s="860"/>
      <c r="D122" s="860"/>
      <c r="E122" s="860"/>
      <c r="F122" s="860"/>
      <c r="G122" s="860"/>
      <c r="H122" s="860"/>
      <c r="I122" s="860"/>
      <c r="J122" s="860"/>
      <c r="K122" s="860"/>
      <c r="L122" s="860"/>
      <c r="M122" s="860"/>
      <c r="N122" s="860"/>
      <c r="O122" s="860"/>
      <c r="P122" s="860"/>
      <c r="Q122" s="860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1"/>
      <c r="AB122" s="861"/>
      <c r="AC122" s="861"/>
      <c r="AD122" s="861"/>
      <c r="AE122" s="861">
        <f>+P10/2</f>
        <v>79191.5</v>
      </c>
      <c r="AF122" s="861">
        <f>+P10</f>
        <v>158383</v>
      </c>
      <c r="AG122" s="861">
        <f t="shared" si="48"/>
        <v>158383</v>
      </c>
      <c r="AH122" s="862">
        <f t="shared" si="48"/>
        <v>158383</v>
      </c>
      <c r="AI122" s="862">
        <f t="shared" si="48"/>
        <v>158383</v>
      </c>
      <c r="AJ122" s="862">
        <f t="shared" si="48"/>
        <v>158383</v>
      </c>
      <c r="AK122" s="861">
        <f t="shared" si="48"/>
        <v>158383</v>
      </c>
      <c r="AL122" s="861">
        <f t="shared" si="50"/>
        <v>158383</v>
      </c>
      <c r="AM122" s="863">
        <f t="shared" si="50"/>
        <v>158383</v>
      </c>
      <c r="AN122" s="863">
        <f t="shared" si="49"/>
        <v>158383</v>
      </c>
      <c r="AO122" s="863">
        <f t="shared" si="49"/>
        <v>158383</v>
      </c>
      <c r="AP122" s="863">
        <f t="shared" si="49"/>
        <v>158383</v>
      </c>
      <c r="AQ122" s="863">
        <f t="shared" si="49"/>
        <v>158383</v>
      </c>
      <c r="AR122" s="863">
        <f t="shared" si="49"/>
        <v>158383</v>
      </c>
      <c r="AS122" s="864">
        <f t="shared" si="51"/>
        <v>2138170.5</v>
      </c>
      <c r="AT122" s="411"/>
      <c r="AU122" s="411"/>
      <c r="AV122" s="848"/>
      <c r="AW122" s="849"/>
      <c r="AX122" s="849"/>
    </row>
    <row r="123" spans="1:50" ht="12.75" x14ac:dyDescent="0.2">
      <c r="A123" s="859" t="s">
        <v>401</v>
      </c>
      <c r="B123" s="860"/>
      <c r="C123" s="860"/>
      <c r="D123" s="860"/>
      <c r="E123" s="860"/>
      <c r="F123" s="860"/>
      <c r="G123" s="860"/>
      <c r="H123" s="860"/>
      <c r="I123" s="860"/>
      <c r="J123" s="860"/>
      <c r="K123" s="860"/>
      <c r="L123" s="860"/>
      <c r="M123" s="860"/>
      <c r="N123" s="860"/>
      <c r="O123" s="860"/>
      <c r="P123" s="860"/>
      <c r="Q123" s="860"/>
      <c r="R123" s="860"/>
      <c r="S123" s="860"/>
      <c r="T123" s="860"/>
      <c r="U123" s="860"/>
      <c r="V123" s="860"/>
      <c r="W123" s="860"/>
      <c r="X123" s="860"/>
      <c r="Y123" s="860"/>
      <c r="Z123" s="860"/>
      <c r="AA123" s="861"/>
      <c r="AB123" s="861"/>
      <c r="AC123" s="861"/>
      <c r="AD123" s="861"/>
      <c r="AE123" s="861"/>
      <c r="AF123" s="861">
        <f>+Q10/2</f>
        <v>39135</v>
      </c>
      <c r="AG123" s="861">
        <f>+Q10</f>
        <v>78270</v>
      </c>
      <c r="AH123" s="862">
        <f t="shared" si="48"/>
        <v>78270</v>
      </c>
      <c r="AI123" s="862">
        <f t="shared" si="48"/>
        <v>78270</v>
      </c>
      <c r="AJ123" s="862">
        <f t="shared" si="48"/>
        <v>78270</v>
      </c>
      <c r="AK123" s="861">
        <f t="shared" si="48"/>
        <v>78270</v>
      </c>
      <c r="AL123" s="861">
        <f t="shared" si="50"/>
        <v>78270</v>
      </c>
      <c r="AM123" s="863">
        <f t="shared" si="50"/>
        <v>78270</v>
      </c>
      <c r="AN123" s="863">
        <f t="shared" si="49"/>
        <v>78270</v>
      </c>
      <c r="AO123" s="863">
        <f t="shared" si="49"/>
        <v>78270</v>
      </c>
      <c r="AP123" s="863">
        <f t="shared" si="49"/>
        <v>78270</v>
      </c>
      <c r="AQ123" s="863">
        <f t="shared" si="49"/>
        <v>78270</v>
      </c>
      <c r="AR123" s="863">
        <f t="shared" si="49"/>
        <v>78270</v>
      </c>
      <c r="AS123" s="864">
        <f t="shared" si="51"/>
        <v>978375</v>
      </c>
      <c r="AT123" s="411"/>
      <c r="AU123" s="411"/>
      <c r="AV123" s="848"/>
      <c r="AW123" s="849"/>
      <c r="AX123" s="849"/>
    </row>
    <row r="124" spans="1:50" ht="13.5" thickBot="1" x14ac:dyDescent="0.25">
      <c r="A124" s="865" t="s">
        <v>402</v>
      </c>
      <c r="B124" s="866"/>
      <c r="C124" s="866"/>
      <c r="D124" s="866"/>
      <c r="E124" s="866"/>
      <c r="F124" s="866"/>
      <c r="G124" s="866"/>
      <c r="H124" s="866"/>
      <c r="I124" s="866"/>
      <c r="J124" s="866"/>
      <c r="K124" s="866"/>
      <c r="L124" s="866"/>
      <c r="M124" s="866"/>
      <c r="N124" s="866"/>
      <c r="O124" s="866"/>
      <c r="P124" s="866"/>
      <c r="Q124" s="866"/>
      <c r="R124" s="866"/>
      <c r="S124" s="866"/>
      <c r="T124" s="866"/>
      <c r="U124" s="866"/>
      <c r="V124" s="866"/>
      <c r="W124" s="866"/>
      <c r="X124" s="866"/>
      <c r="Y124" s="866"/>
      <c r="Z124" s="866"/>
      <c r="AA124" s="200"/>
      <c r="AB124" s="200"/>
      <c r="AC124" s="200"/>
      <c r="AD124" s="200"/>
      <c r="AE124" s="200"/>
      <c r="AF124" s="200"/>
      <c r="AG124" s="861">
        <f>+R10/2</f>
        <v>430</v>
      </c>
      <c r="AH124" s="867">
        <f>+R10</f>
        <v>860</v>
      </c>
      <c r="AI124" s="867">
        <f t="shared" si="48"/>
        <v>860</v>
      </c>
      <c r="AJ124" s="867">
        <f t="shared" si="48"/>
        <v>860</v>
      </c>
      <c r="AK124" s="868">
        <f t="shared" si="48"/>
        <v>860</v>
      </c>
      <c r="AL124" s="868">
        <f t="shared" si="50"/>
        <v>860</v>
      </c>
      <c r="AM124" s="869">
        <f t="shared" si="50"/>
        <v>860</v>
      </c>
      <c r="AN124" s="869">
        <f t="shared" si="49"/>
        <v>860</v>
      </c>
      <c r="AO124" s="869">
        <f t="shared" si="49"/>
        <v>860</v>
      </c>
      <c r="AP124" s="869">
        <f t="shared" si="49"/>
        <v>860</v>
      </c>
      <c r="AQ124" s="869">
        <f t="shared" si="49"/>
        <v>860</v>
      </c>
      <c r="AR124" s="869">
        <f t="shared" si="49"/>
        <v>860</v>
      </c>
      <c r="AS124" s="870">
        <f t="shared" si="51"/>
        <v>9890</v>
      </c>
      <c r="AT124" s="411"/>
      <c r="AU124" s="411"/>
      <c r="AV124" s="848"/>
      <c r="AW124" s="849"/>
      <c r="AX124" s="849"/>
    </row>
    <row r="125" spans="1:50" ht="12.75" x14ac:dyDescent="0.2">
      <c r="A125" s="871" t="s">
        <v>403</v>
      </c>
      <c r="B125" s="459"/>
      <c r="C125" s="459"/>
      <c r="D125" s="459"/>
      <c r="E125" s="459"/>
      <c r="F125" s="459"/>
      <c r="G125" s="459"/>
      <c r="H125" s="459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  <c r="S125" s="459"/>
      <c r="T125" s="459"/>
      <c r="U125" s="459"/>
      <c r="V125" s="459"/>
      <c r="W125" s="459"/>
      <c r="X125" s="459"/>
      <c r="Y125" s="872">
        <f>+E9/2</f>
        <v>1834862.3853211009</v>
      </c>
      <c r="Z125" s="872">
        <f>+E9</f>
        <v>3669724.7706422019</v>
      </c>
      <c r="AA125" s="872">
        <f t="shared" ref="AA125:AH132" si="52">+Z125</f>
        <v>3669724.7706422019</v>
      </c>
      <c r="AB125" s="872">
        <f t="shared" si="52"/>
        <v>3669724.7706422019</v>
      </c>
      <c r="AC125" s="872">
        <f t="shared" si="52"/>
        <v>3669724.7706422019</v>
      </c>
      <c r="AD125" s="872">
        <f t="shared" si="52"/>
        <v>3669724.7706422019</v>
      </c>
      <c r="AE125" s="872">
        <f t="shared" si="52"/>
        <v>3669724.7706422019</v>
      </c>
      <c r="AF125" s="872">
        <f t="shared" si="52"/>
        <v>3669724.7706422019</v>
      </c>
      <c r="AG125" s="872">
        <f t="shared" si="52"/>
        <v>3669724.7706422019</v>
      </c>
      <c r="AH125" s="873">
        <f>+AG125</f>
        <v>3669724.7706422019</v>
      </c>
      <c r="AI125" s="873">
        <f t="shared" si="48"/>
        <v>3669724.7706422019</v>
      </c>
      <c r="AJ125" s="873">
        <f t="shared" si="48"/>
        <v>3669724.7706422019</v>
      </c>
      <c r="AK125" s="874">
        <f t="shared" si="48"/>
        <v>3669724.7706422019</v>
      </c>
      <c r="AL125" s="874">
        <f t="shared" si="48"/>
        <v>3669724.7706422019</v>
      </c>
      <c r="AM125" s="875">
        <f t="shared" si="48"/>
        <v>3669724.7706422019</v>
      </c>
      <c r="AN125" s="875">
        <f t="shared" si="49"/>
        <v>3669724.7706422019</v>
      </c>
      <c r="AO125" s="875">
        <f t="shared" si="49"/>
        <v>3669724.7706422019</v>
      </c>
      <c r="AP125" s="875">
        <f t="shared" si="49"/>
        <v>3669724.7706422019</v>
      </c>
      <c r="AQ125" s="875">
        <f t="shared" si="49"/>
        <v>3669724.7706422019</v>
      </c>
      <c r="AR125" s="875">
        <f t="shared" si="49"/>
        <v>3669724.7706422019</v>
      </c>
      <c r="AS125" s="876">
        <f>SUM(E125:AR125)</f>
        <v>71559633.027522922</v>
      </c>
      <c r="AT125" s="411"/>
      <c r="AU125" s="411"/>
      <c r="AV125" s="848"/>
      <c r="AW125" s="849"/>
      <c r="AX125" s="849"/>
    </row>
    <row r="126" spans="1:50" ht="12.75" x14ac:dyDescent="0.2">
      <c r="A126" s="877" t="s">
        <v>404</v>
      </c>
      <c r="B126" s="845"/>
      <c r="C126" s="845"/>
      <c r="D126" s="845"/>
      <c r="E126" s="845"/>
      <c r="F126" s="845"/>
      <c r="G126" s="845"/>
      <c r="H126" s="845"/>
      <c r="I126" s="845"/>
      <c r="J126" s="845"/>
      <c r="K126" s="845"/>
      <c r="L126" s="845"/>
      <c r="M126" s="845"/>
      <c r="N126" s="845"/>
      <c r="O126" s="845"/>
      <c r="P126" s="845"/>
      <c r="Q126" s="845"/>
      <c r="R126" s="845"/>
      <c r="S126" s="845"/>
      <c r="T126" s="845"/>
      <c r="U126" s="845"/>
      <c r="V126" s="845"/>
      <c r="W126" s="845"/>
      <c r="X126" s="845"/>
      <c r="Y126" s="878"/>
      <c r="Z126" s="878">
        <f>+F9/2</f>
        <v>10037776.578521317</v>
      </c>
      <c r="AA126" s="878">
        <f>+F9</f>
        <v>20075553.157042634</v>
      </c>
      <c r="AB126" s="878">
        <f>+AA126</f>
        <v>20075553.157042634</v>
      </c>
      <c r="AC126" s="878">
        <f t="shared" si="52"/>
        <v>20075553.157042634</v>
      </c>
      <c r="AD126" s="878">
        <f t="shared" si="52"/>
        <v>20075553.157042634</v>
      </c>
      <c r="AE126" s="878">
        <f t="shared" si="52"/>
        <v>20075553.157042634</v>
      </c>
      <c r="AF126" s="878">
        <f t="shared" si="52"/>
        <v>20075553.157042634</v>
      </c>
      <c r="AG126" s="878">
        <f t="shared" si="52"/>
        <v>20075553.157042634</v>
      </c>
      <c r="AH126" s="879">
        <f t="shared" si="52"/>
        <v>20075553.157042634</v>
      </c>
      <c r="AI126" s="879">
        <f t="shared" si="48"/>
        <v>20075553.157042634</v>
      </c>
      <c r="AJ126" s="879">
        <f t="shared" si="48"/>
        <v>20075553.157042634</v>
      </c>
      <c r="AK126" s="878">
        <f t="shared" si="48"/>
        <v>20075553.157042634</v>
      </c>
      <c r="AL126" s="878">
        <f t="shared" si="48"/>
        <v>20075553.157042634</v>
      </c>
      <c r="AM126" s="880">
        <f t="shared" si="48"/>
        <v>20075553.157042634</v>
      </c>
      <c r="AN126" s="880">
        <f t="shared" si="49"/>
        <v>20075553.157042634</v>
      </c>
      <c r="AO126" s="880">
        <f t="shared" si="49"/>
        <v>20075553.157042634</v>
      </c>
      <c r="AP126" s="880">
        <f t="shared" si="49"/>
        <v>20075553.157042634</v>
      </c>
      <c r="AQ126" s="880">
        <f t="shared" si="49"/>
        <v>20075553.157042634</v>
      </c>
      <c r="AR126" s="880">
        <f t="shared" si="49"/>
        <v>20075553.157042634</v>
      </c>
      <c r="AS126" s="881">
        <f t="shared" ref="AS126:AS144" si="53">SUM(E126:AR126)</f>
        <v>371397733.40528864</v>
      </c>
      <c r="AT126" s="411"/>
      <c r="AU126" s="411"/>
      <c r="AV126" s="848"/>
      <c r="AW126" s="849"/>
      <c r="AX126" s="849"/>
    </row>
    <row r="127" spans="1:50" ht="12.75" x14ac:dyDescent="0.2">
      <c r="A127" s="877" t="s">
        <v>405</v>
      </c>
      <c r="B127" s="845"/>
      <c r="C127" s="845"/>
      <c r="D127" s="845"/>
      <c r="E127" s="845"/>
      <c r="F127" s="845"/>
      <c r="G127" s="845"/>
      <c r="H127" s="845"/>
      <c r="I127" s="845"/>
      <c r="J127" s="845"/>
      <c r="K127" s="845"/>
      <c r="L127" s="845"/>
      <c r="M127" s="845"/>
      <c r="N127" s="845"/>
      <c r="O127" s="845"/>
      <c r="P127" s="845"/>
      <c r="Q127" s="845"/>
      <c r="R127" s="845"/>
      <c r="S127" s="845"/>
      <c r="T127" s="845"/>
      <c r="U127" s="845"/>
      <c r="V127" s="845"/>
      <c r="W127" s="845"/>
      <c r="X127" s="845"/>
      <c r="Y127" s="878"/>
      <c r="Z127" s="878"/>
      <c r="AA127" s="878">
        <f>+G9/2</f>
        <v>3507825.1484079869</v>
      </c>
      <c r="AB127" s="878">
        <f>+G9</f>
        <v>7015650.2968159737</v>
      </c>
      <c r="AC127" s="878">
        <f t="shared" si="52"/>
        <v>7015650.2968159737</v>
      </c>
      <c r="AD127" s="878">
        <f t="shared" si="52"/>
        <v>7015650.2968159737</v>
      </c>
      <c r="AE127" s="878">
        <f t="shared" si="52"/>
        <v>7015650.2968159737</v>
      </c>
      <c r="AF127" s="878">
        <f t="shared" si="52"/>
        <v>7015650.2968159737</v>
      </c>
      <c r="AG127" s="878">
        <f t="shared" si="52"/>
        <v>7015650.2968159737</v>
      </c>
      <c r="AH127" s="879">
        <f t="shared" si="52"/>
        <v>7015650.2968159737</v>
      </c>
      <c r="AI127" s="879">
        <f t="shared" si="48"/>
        <v>7015650.2968159737</v>
      </c>
      <c r="AJ127" s="879">
        <f t="shared" si="48"/>
        <v>7015650.2968159737</v>
      </c>
      <c r="AK127" s="878">
        <f t="shared" si="48"/>
        <v>7015650.2968159737</v>
      </c>
      <c r="AL127" s="878">
        <f t="shared" si="48"/>
        <v>7015650.2968159737</v>
      </c>
      <c r="AM127" s="880">
        <f t="shared" si="48"/>
        <v>7015650.2968159737</v>
      </c>
      <c r="AN127" s="880">
        <f t="shared" si="49"/>
        <v>7015650.2968159737</v>
      </c>
      <c r="AO127" s="880">
        <f t="shared" si="49"/>
        <v>7015650.2968159737</v>
      </c>
      <c r="AP127" s="880">
        <f t="shared" si="49"/>
        <v>7015650.2968159737</v>
      </c>
      <c r="AQ127" s="880">
        <f t="shared" si="49"/>
        <v>7015650.2968159737</v>
      </c>
      <c r="AR127" s="880">
        <f t="shared" si="49"/>
        <v>7015650.2968159737</v>
      </c>
      <c r="AS127" s="881">
        <f t="shared" si="53"/>
        <v>122773880.19427957</v>
      </c>
      <c r="AT127" s="411"/>
      <c r="AU127" s="411"/>
      <c r="AV127" s="848"/>
      <c r="AW127" s="849"/>
      <c r="AX127" s="849"/>
    </row>
    <row r="128" spans="1:50" ht="12.75" x14ac:dyDescent="0.2">
      <c r="A128" s="877" t="s">
        <v>406</v>
      </c>
      <c r="B128" s="845"/>
      <c r="C128" s="845"/>
      <c r="D128" s="845"/>
      <c r="E128" s="845"/>
      <c r="F128" s="845"/>
      <c r="G128" s="845"/>
      <c r="H128" s="845"/>
      <c r="I128" s="845"/>
      <c r="J128" s="845"/>
      <c r="K128" s="845"/>
      <c r="L128" s="845"/>
      <c r="M128" s="845"/>
      <c r="N128" s="845"/>
      <c r="O128" s="845"/>
      <c r="P128" s="845"/>
      <c r="Q128" s="845"/>
      <c r="R128" s="845"/>
      <c r="S128" s="845"/>
      <c r="T128" s="845"/>
      <c r="U128" s="845"/>
      <c r="V128" s="845"/>
      <c r="W128" s="845"/>
      <c r="X128" s="845"/>
      <c r="Y128" s="878"/>
      <c r="Z128" s="878"/>
      <c r="AA128" s="878"/>
      <c r="AB128" s="878">
        <f>+H9/2</f>
        <v>2752293.5779816513</v>
      </c>
      <c r="AC128" s="878">
        <f>+H9</f>
        <v>5504587.1559633026</v>
      </c>
      <c r="AD128" s="878">
        <f t="shared" si="52"/>
        <v>5504587.1559633026</v>
      </c>
      <c r="AE128" s="878">
        <f t="shared" si="52"/>
        <v>5504587.1559633026</v>
      </c>
      <c r="AF128" s="878">
        <f t="shared" si="52"/>
        <v>5504587.1559633026</v>
      </c>
      <c r="AG128" s="878">
        <f t="shared" si="52"/>
        <v>5504587.1559633026</v>
      </c>
      <c r="AH128" s="879">
        <f t="shared" si="52"/>
        <v>5504587.1559633026</v>
      </c>
      <c r="AI128" s="879">
        <f t="shared" si="48"/>
        <v>5504587.1559633026</v>
      </c>
      <c r="AJ128" s="879">
        <f t="shared" si="48"/>
        <v>5504587.1559633026</v>
      </c>
      <c r="AK128" s="878">
        <f t="shared" si="48"/>
        <v>5504587.1559633026</v>
      </c>
      <c r="AL128" s="878">
        <f t="shared" si="48"/>
        <v>5504587.1559633026</v>
      </c>
      <c r="AM128" s="880">
        <f t="shared" si="48"/>
        <v>5504587.1559633026</v>
      </c>
      <c r="AN128" s="880">
        <f t="shared" si="49"/>
        <v>5504587.1559633026</v>
      </c>
      <c r="AO128" s="880">
        <f t="shared" si="49"/>
        <v>5504587.1559633026</v>
      </c>
      <c r="AP128" s="880">
        <f t="shared" si="49"/>
        <v>5504587.1559633026</v>
      </c>
      <c r="AQ128" s="880">
        <f t="shared" si="49"/>
        <v>5504587.1559633026</v>
      </c>
      <c r="AR128" s="880">
        <f t="shared" si="49"/>
        <v>5504587.1559633026</v>
      </c>
      <c r="AS128" s="881">
        <f t="shared" si="53"/>
        <v>90825688.073394492</v>
      </c>
      <c r="AT128" s="411"/>
      <c r="AU128" s="411"/>
      <c r="AV128" s="848"/>
      <c r="AW128" s="849"/>
      <c r="AX128" s="849"/>
    </row>
    <row r="129" spans="1:50" ht="12.75" x14ac:dyDescent="0.2">
      <c r="A129" s="877" t="s">
        <v>407</v>
      </c>
      <c r="B129" s="845"/>
      <c r="C129" s="845"/>
      <c r="D129" s="845"/>
      <c r="E129" s="845"/>
      <c r="F129" s="845"/>
      <c r="G129" s="845"/>
      <c r="H129" s="845"/>
      <c r="I129" s="845"/>
      <c r="J129" s="845"/>
      <c r="K129" s="845"/>
      <c r="L129" s="845"/>
      <c r="M129" s="845"/>
      <c r="N129" s="845"/>
      <c r="O129" s="845"/>
      <c r="P129" s="845"/>
      <c r="Q129" s="845"/>
      <c r="R129" s="845"/>
      <c r="S129" s="845"/>
      <c r="T129" s="845"/>
      <c r="U129" s="845"/>
      <c r="V129" s="845"/>
      <c r="W129" s="845"/>
      <c r="X129" s="845"/>
      <c r="Y129" s="878"/>
      <c r="Z129" s="878"/>
      <c r="AA129" s="878"/>
      <c r="AB129" s="878"/>
      <c r="AC129" s="878">
        <f>+I9/2</f>
        <v>1511063.1408526713</v>
      </c>
      <c r="AD129" s="878">
        <f>+I9</f>
        <v>3022126.2817053427</v>
      </c>
      <c r="AE129" s="878">
        <f t="shared" si="52"/>
        <v>3022126.2817053427</v>
      </c>
      <c r="AF129" s="878">
        <f t="shared" si="52"/>
        <v>3022126.2817053427</v>
      </c>
      <c r="AG129" s="878">
        <f t="shared" si="52"/>
        <v>3022126.2817053427</v>
      </c>
      <c r="AH129" s="879">
        <f t="shared" si="52"/>
        <v>3022126.2817053427</v>
      </c>
      <c r="AI129" s="879">
        <f t="shared" si="48"/>
        <v>3022126.2817053427</v>
      </c>
      <c r="AJ129" s="879">
        <f t="shared" si="48"/>
        <v>3022126.2817053427</v>
      </c>
      <c r="AK129" s="878">
        <f t="shared" si="48"/>
        <v>3022126.2817053427</v>
      </c>
      <c r="AL129" s="878">
        <f t="shared" si="48"/>
        <v>3022126.2817053427</v>
      </c>
      <c r="AM129" s="880">
        <f t="shared" si="48"/>
        <v>3022126.2817053427</v>
      </c>
      <c r="AN129" s="880">
        <f t="shared" si="49"/>
        <v>3022126.2817053427</v>
      </c>
      <c r="AO129" s="880">
        <f t="shared" si="49"/>
        <v>3022126.2817053427</v>
      </c>
      <c r="AP129" s="880">
        <f t="shared" si="49"/>
        <v>3022126.2817053427</v>
      </c>
      <c r="AQ129" s="880">
        <f t="shared" si="49"/>
        <v>3022126.2817053427</v>
      </c>
      <c r="AR129" s="880">
        <f t="shared" si="49"/>
        <v>3022126.2817053427</v>
      </c>
      <c r="AS129" s="881">
        <f t="shared" si="53"/>
        <v>46842957.366432808</v>
      </c>
      <c r="AT129" s="411"/>
      <c r="AU129" s="411"/>
      <c r="AV129" s="848"/>
      <c r="AW129" s="849"/>
      <c r="AX129" s="849"/>
    </row>
    <row r="130" spans="1:50" ht="12.75" x14ac:dyDescent="0.2">
      <c r="A130" s="877" t="s">
        <v>408</v>
      </c>
      <c r="B130" s="845"/>
      <c r="C130" s="845"/>
      <c r="D130" s="845"/>
      <c r="E130" s="845"/>
      <c r="F130" s="845"/>
      <c r="G130" s="845"/>
      <c r="H130" s="845"/>
      <c r="I130" s="845"/>
      <c r="J130" s="845"/>
      <c r="K130" s="845"/>
      <c r="L130" s="845"/>
      <c r="M130" s="845"/>
      <c r="N130" s="845"/>
      <c r="O130" s="845"/>
      <c r="P130" s="845"/>
      <c r="Q130" s="845"/>
      <c r="R130" s="845"/>
      <c r="S130" s="845"/>
      <c r="T130" s="845"/>
      <c r="U130" s="845"/>
      <c r="V130" s="845"/>
      <c r="W130" s="845"/>
      <c r="X130" s="845"/>
      <c r="Y130" s="878"/>
      <c r="Z130" s="878"/>
      <c r="AA130" s="878"/>
      <c r="AB130" s="878"/>
      <c r="AC130" s="878"/>
      <c r="AD130" s="878">
        <f>+J9/2</f>
        <v>2158661.6297895303</v>
      </c>
      <c r="AE130" s="878">
        <f>+J9</f>
        <v>4317323.2595790606</v>
      </c>
      <c r="AF130" s="878">
        <f t="shared" si="52"/>
        <v>4317323.2595790606</v>
      </c>
      <c r="AG130" s="878">
        <f t="shared" si="52"/>
        <v>4317323.2595790606</v>
      </c>
      <c r="AH130" s="879">
        <f t="shared" si="52"/>
        <v>4317323.2595790606</v>
      </c>
      <c r="AI130" s="879">
        <f t="shared" si="48"/>
        <v>4317323.2595790606</v>
      </c>
      <c r="AJ130" s="879">
        <f t="shared" si="48"/>
        <v>4317323.2595790606</v>
      </c>
      <c r="AK130" s="878">
        <f t="shared" si="48"/>
        <v>4317323.2595790606</v>
      </c>
      <c r="AL130" s="878">
        <f t="shared" si="48"/>
        <v>4317323.2595790606</v>
      </c>
      <c r="AM130" s="880">
        <f t="shared" si="48"/>
        <v>4317323.2595790606</v>
      </c>
      <c r="AN130" s="880">
        <f t="shared" si="49"/>
        <v>4317323.2595790606</v>
      </c>
      <c r="AO130" s="880">
        <f t="shared" si="49"/>
        <v>4317323.2595790606</v>
      </c>
      <c r="AP130" s="880">
        <f t="shared" si="49"/>
        <v>4317323.2595790606</v>
      </c>
      <c r="AQ130" s="880">
        <f t="shared" si="49"/>
        <v>4317323.2595790606</v>
      </c>
      <c r="AR130" s="880">
        <f t="shared" si="49"/>
        <v>4317323.2595790606</v>
      </c>
      <c r="AS130" s="881">
        <f t="shared" si="53"/>
        <v>62601187.263896398</v>
      </c>
      <c r="AT130" s="411"/>
      <c r="AU130" s="411"/>
      <c r="AV130" s="848"/>
      <c r="AW130" s="849"/>
      <c r="AX130" s="849"/>
    </row>
    <row r="131" spans="1:50" ht="12.75" x14ac:dyDescent="0.2">
      <c r="A131" s="877" t="s">
        <v>409</v>
      </c>
      <c r="B131" s="845"/>
      <c r="C131" s="845"/>
      <c r="D131" s="845"/>
      <c r="E131" s="845"/>
      <c r="F131" s="845"/>
      <c r="G131" s="845"/>
      <c r="H131" s="845"/>
      <c r="I131" s="845"/>
      <c r="J131" s="845"/>
      <c r="K131" s="845"/>
      <c r="L131" s="845"/>
      <c r="M131" s="845"/>
      <c r="N131" s="845"/>
      <c r="O131" s="845"/>
      <c r="P131" s="845"/>
      <c r="Q131" s="845"/>
      <c r="R131" s="845"/>
      <c r="S131" s="845"/>
      <c r="T131" s="845"/>
      <c r="U131" s="845"/>
      <c r="V131" s="845"/>
      <c r="W131" s="845"/>
      <c r="X131" s="845"/>
      <c r="Y131" s="878"/>
      <c r="Z131" s="878"/>
      <c r="AA131" s="878"/>
      <c r="AB131" s="878"/>
      <c r="AC131" s="878"/>
      <c r="AD131" s="878"/>
      <c r="AE131" s="878">
        <f>+K9/2</f>
        <v>6961683.756071236</v>
      </c>
      <c r="AF131" s="878">
        <f>+K9</f>
        <v>13923367.512142472</v>
      </c>
      <c r="AG131" s="878">
        <f t="shared" si="52"/>
        <v>13923367.512142472</v>
      </c>
      <c r="AH131" s="879">
        <f t="shared" si="52"/>
        <v>13923367.512142472</v>
      </c>
      <c r="AI131" s="879">
        <f t="shared" si="48"/>
        <v>13923367.512142472</v>
      </c>
      <c r="AJ131" s="879">
        <f t="shared" si="48"/>
        <v>13923367.512142472</v>
      </c>
      <c r="AK131" s="878">
        <f t="shared" si="48"/>
        <v>13923367.512142472</v>
      </c>
      <c r="AL131" s="878">
        <f t="shared" si="48"/>
        <v>13923367.512142472</v>
      </c>
      <c r="AM131" s="880">
        <f t="shared" si="48"/>
        <v>13923367.512142472</v>
      </c>
      <c r="AN131" s="880">
        <f t="shared" si="49"/>
        <v>13923367.512142472</v>
      </c>
      <c r="AO131" s="880">
        <f t="shared" si="49"/>
        <v>13923367.512142472</v>
      </c>
      <c r="AP131" s="880">
        <f t="shared" si="49"/>
        <v>13923367.512142472</v>
      </c>
      <c r="AQ131" s="880">
        <f t="shared" si="49"/>
        <v>13923367.512142472</v>
      </c>
      <c r="AR131" s="880">
        <f t="shared" si="49"/>
        <v>13923367.512142472</v>
      </c>
      <c r="AS131" s="881">
        <f t="shared" si="53"/>
        <v>187965461.41392344</v>
      </c>
      <c r="AT131" s="411"/>
      <c r="AU131" s="411"/>
      <c r="AV131" s="848"/>
      <c r="AW131" s="849"/>
      <c r="AX131" s="849"/>
    </row>
    <row r="132" spans="1:50" ht="12.75" x14ac:dyDescent="0.2">
      <c r="A132" s="877" t="s">
        <v>410</v>
      </c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78"/>
      <c r="Z132" s="878"/>
      <c r="AA132" s="878"/>
      <c r="AB132" s="878"/>
      <c r="AC132" s="878"/>
      <c r="AD132" s="878"/>
      <c r="AE132" s="878"/>
      <c r="AF132" s="878">
        <f>+L9/2</f>
        <v>3410685.375067458</v>
      </c>
      <c r="AG132" s="878">
        <f>+L9</f>
        <v>6821370.750134916</v>
      </c>
      <c r="AH132" s="879">
        <f t="shared" si="52"/>
        <v>6821370.750134916</v>
      </c>
      <c r="AI132" s="879">
        <f t="shared" si="48"/>
        <v>6821370.750134916</v>
      </c>
      <c r="AJ132" s="879">
        <f t="shared" si="48"/>
        <v>6821370.750134916</v>
      </c>
      <c r="AK132" s="878">
        <f t="shared" si="48"/>
        <v>6821370.750134916</v>
      </c>
      <c r="AL132" s="878">
        <f t="shared" si="48"/>
        <v>6821370.750134916</v>
      </c>
      <c r="AM132" s="880">
        <f t="shared" si="48"/>
        <v>6821370.750134916</v>
      </c>
      <c r="AN132" s="880">
        <f t="shared" si="49"/>
        <v>6821370.750134916</v>
      </c>
      <c r="AO132" s="880">
        <f t="shared" si="49"/>
        <v>6821370.750134916</v>
      </c>
      <c r="AP132" s="880">
        <f t="shared" si="49"/>
        <v>6821370.750134916</v>
      </c>
      <c r="AQ132" s="880">
        <f t="shared" si="49"/>
        <v>6821370.750134916</v>
      </c>
      <c r="AR132" s="880">
        <f t="shared" si="49"/>
        <v>6821370.750134916</v>
      </c>
      <c r="AS132" s="881">
        <f t="shared" si="53"/>
        <v>85267134.376686454</v>
      </c>
      <c r="AT132" s="411"/>
      <c r="AU132" s="411"/>
      <c r="AV132" s="848"/>
      <c r="AW132" s="849"/>
      <c r="AX132" s="849"/>
    </row>
    <row r="133" spans="1:50" ht="12.75" x14ac:dyDescent="0.2">
      <c r="A133" s="877" t="s">
        <v>411</v>
      </c>
      <c r="B133" s="845"/>
      <c r="C133" s="845"/>
      <c r="D133" s="845"/>
      <c r="E133" s="845"/>
      <c r="F133" s="845"/>
      <c r="G133" s="845"/>
      <c r="H133" s="845"/>
      <c r="I133" s="845"/>
      <c r="J133" s="845"/>
      <c r="K133" s="845"/>
      <c r="L133" s="845"/>
      <c r="M133" s="845"/>
      <c r="N133" s="845"/>
      <c r="O133" s="845"/>
      <c r="P133" s="845"/>
      <c r="Q133" s="845"/>
      <c r="R133" s="845"/>
      <c r="S133" s="845"/>
      <c r="T133" s="845"/>
      <c r="U133" s="845"/>
      <c r="V133" s="845"/>
      <c r="W133" s="845"/>
      <c r="X133" s="845"/>
      <c r="Y133" s="878"/>
      <c r="Z133" s="878"/>
      <c r="AA133" s="878"/>
      <c r="AB133" s="878"/>
      <c r="AC133" s="878"/>
      <c r="AD133" s="878"/>
      <c r="AE133" s="878"/>
      <c r="AF133" s="878"/>
      <c r="AG133" s="878">
        <f>+M9/2</f>
        <v>5132218.024824609</v>
      </c>
      <c r="AH133" s="879">
        <f>+M9</f>
        <v>10264436.049649218</v>
      </c>
      <c r="AI133" s="879">
        <f t="shared" si="48"/>
        <v>10264436.049649218</v>
      </c>
      <c r="AJ133" s="879">
        <f t="shared" si="48"/>
        <v>10264436.049649218</v>
      </c>
      <c r="AK133" s="878">
        <f t="shared" si="48"/>
        <v>10264436.049649218</v>
      </c>
      <c r="AL133" s="878">
        <f t="shared" si="48"/>
        <v>10264436.049649218</v>
      </c>
      <c r="AM133" s="880">
        <f t="shared" si="48"/>
        <v>10264436.049649218</v>
      </c>
      <c r="AN133" s="880">
        <f t="shared" si="49"/>
        <v>10264436.049649218</v>
      </c>
      <c r="AO133" s="880">
        <f t="shared" si="49"/>
        <v>10264436.049649218</v>
      </c>
      <c r="AP133" s="880">
        <f t="shared" si="49"/>
        <v>10264436.049649218</v>
      </c>
      <c r="AQ133" s="880">
        <f t="shared" si="49"/>
        <v>10264436.049649218</v>
      </c>
      <c r="AR133" s="880">
        <f t="shared" si="49"/>
        <v>10264436.049649218</v>
      </c>
      <c r="AS133" s="881">
        <f t="shared" si="53"/>
        <v>118041014.57096602</v>
      </c>
      <c r="AT133" s="411"/>
      <c r="AU133" s="411"/>
      <c r="AV133" s="848"/>
      <c r="AW133" s="849"/>
      <c r="AX133" s="849"/>
    </row>
    <row r="134" spans="1:50" ht="12.75" x14ac:dyDescent="0.2">
      <c r="A134" s="877" t="s">
        <v>412</v>
      </c>
      <c r="B134" s="845"/>
      <c r="C134" s="845"/>
      <c r="D134" s="845"/>
      <c r="E134" s="845"/>
      <c r="F134" s="845"/>
      <c r="G134" s="845"/>
      <c r="H134" s="845"/>
      <c r="I134" s="845"/>
      <c r="J134" s="845"/>
      <c r="K134" s="845"/>
      <c r="L134" s="845"/>
      <c r="M134" s="845"/>
      <c r="N134" s="845"/>
      <c r="O134" s="845"/>
      <c r="P134" s="845"/>
      <c r="Q134" s="845"/>
      <c r="R134" s="845"/>
      <c r="S134" s="845"/>
      <c r="T134" s="845"/>
      <c r="U134" s="845"/>
      <c r="V134" s="845"/>
      <c r="W134" s="845"/>
      <c r="X134" s="845"/>
      <c r="Y134" s="878"/>
      <c r="Z134" s="878"/>
      <c r="AA134" s="878"/>
      <c r="AB134" s="878"/>
      <c r="AC134" s="878"/>
      <c r="AD134" s="878"/>
      <c r="AE134" s="878"/>
      <c r="AF134" s="878"/>
      <c r="AG134" s="878"/>
      <c r="AH134" s="879">
        <f>+N9/2</f>
        <v>23688384.781435512</v>
      </c>
      <c r="AI134" s="879">
        <f>+N9</f>
        <v>47376769.562871024</v>
      </c>
      <c r="AJ134" s="879">
        <f t="shared" si="48"/>
        <v>47376769.562871024</v>
      </c>
      <c r="AK134" s="878">
        <f t="shared" si="48"/>
        <v>47376769.562871024</v>
      </c>
      <c r="AL134" s="878">
        <f t="shared" si="48"/>
        <v>47376769.562871024</v>
      </c>
      <c r="AM134" s="880">
        <f t="shared" si="48"/>
        <v>47376769.562871024</v>
      </c>
      <c r="AN134" s="880">
        <f t="shared" si="49"/>
        <v>47376769.562871024</v>
      </c>
      <c r="AO134" s="880">
        <f t="shared" si="49"/>
        <v>47376769.562871024</v>
      </c>
      <c r="AP134" s="880">
        <f t="shared" si="49"/>
        <v>47376769.562871024</v>
      </c>
      <c r="AQ134" s="880">
        <f t="shared" si="49"/>
        <v>47376769.562871024</v>
      </c>
      <c r="AR134" s="880">
        <f t="shared" si="49"/>
        <v>47376769.562871024</v>
      </c>
      <c r="AS134" s="881">
        <f t="shared" si="53"/>
        <v>497456080.41014582</v>
      </c>
      <c r="AT134" s="411"/>
      <c r="AU134" s="411"/>
      <c r="AV134" s="848"/>
      <c r="AW134" s="849"/>
      <c r="AX134" s="849"/>
    </row>
    <row r="135" spans="1:50" ht="12.75" x14ac:dyDescent="0.2">
      <c r="A135" s="877" t="s">
        <v>413</v>
      </c>
      <c r="B135" s="845"/>
      <c r="C135" s="845"/>
      <c r="D135" s="845"/>
      <c r="E135" s="845"/>
      <c r="F135" s="845"/>
      <c r="G135" s="845"/>
      <c r="H135" s="845"/>
      <c r="I135" s="845"/>
      <c r="J135" s="845"/>
      <c r="K135" s="845"/>
      <c r="L135" s="845"/>
      <c r="M135" s="845"/>
      <c r="N135" s="845"/>
      <c r="O135" s="845"/>
      <c r="P135" s="845"/>
      <c r="Q135" s="845"/>
      <c r="R135" s="845"/>
      <c r="S135" s="845"/>
      <c r="T135" s="845"/>
      <c r="U135" s="845"/>
      <c r="V135" s="845"/>
      <c r="W135" s="845"/>
      <c r="X135" s="845"/>
      <c r="Y135" s="878"/>
      <c r="Z135" s="878"/>
      <c r="AA135" s="878"/>
      <c r="AB135" s="878"/>
      <c r="AC135" s="878"/>
      <c r="AD135" s="878"/>
      <c r="AE135" s="878"/>
      <c r="AF135" s="878"/>
      <c r="AG135" s="878"/>
      <c r="AH135" s="879"/>
      <c r="AI135" s="879">
        <f>O9/2</f>
        <v>55749487.317862928</v>
      </c>
      <c r="AJ135" s="879">
        <f>O9</f>
        <v>111498974.63572586</v>
      </c>
      <c r="AK135" s="878">
        <f>AJ135</f>
        <v>111498974.63572586</v>
      </c>
      <c r="AL135" s="878">
        <f t="shared" si="48"/>
        <v>111498974.63572586</v>
      </c>
      <c r="AM135" s="880">
        <f t="shared" si="48"/>
        <v>111498974.63572586</v>
      </c>
      <c r="AN135" s="880">
        <f t="shared" si="49"/>
        <v>111498974.63572586</v>
      </c>
      <c r="AO135" s="880">
        <f t="shared" si="49"/>
        <v>111498974.63572586</v>
      </c>
      <c r="AP135" s="880">
        <f t="shared" si="49"/>
        <v>111498974.63572586</v>
      </c>
      <c r="AQ135" s="880">
        <f t="shared" si="49"/>
        <v>111498974.63572586</v>
      </c>
      <c r="AR135" s="880">
        <f t="shared" si="49"/>
        <v>111498974.63572586</v>
      </c>
      <c r="AS135" s="881">
        <f t="shared" si="53"/>
        <v>1059240259.0393956</v>
      </c>
      <c r="AT135" s="411"/>
      <c r="AU135" s="411"/>
      <c r="AV135" s="848"/>
      <c r="AW135" s="849"/>
      <c r="AX135" s="849"/>
    </row>
    <row r="136" spans="1:50" ht="12.75" x14ac:dyDescent="0.2">
      <c r="A136" s="877" t="s">
        <v>414</v>
      </c>
      <c r="B136" s="845"/>
      <c r="C136" s="845"/>
      <c r="D136" s="845"/>
      <c r="E136" s="845"/>
      <c r="F136" s="845"/>
      <c r="G136" s="845"/>
      <c r="H136" s="845"/>
      <c r="I136" s="845"/>
      <c r="J136" s="845"/>
      <c r="K136" s="845"/>
      <c r="L136" s="845"/>
      <c r="M136" s="845"/>
      <c r="N136" s="845"/>
      <c r="O136" s="845"/>
      <c r="P136" s="845"/>
      <c r="Q136" s="845"/>
      <c r="R136" s="845"/>
      <c r="S136" s="845"/>
      <c r="T136" s="845"/>
      <c r="U136" s="845"/>
      <c r="V136" s="845"/>
      <c r="W136" s="845"/>
      <c r="X136" s="845"/>
      <c r="Y136" s="878"/>
      <c r="Z136" s="878"/>
      <c r="AA136" s="878"/>
      <c r="AB136" s="878"/>
      <c r="AC136" s="878"/>
      <c r="AD136" s="878"/>
      <c r="AE136" s="878"/>
      <c r="AF136" s="878"/>
      <c r="AG136" s="878"/>
      <c r="AH136" s="879"/>
      <c r="AI136" s="879"/>
      <c r="AJ136" s="879">
        <f>P9/2</f>
        <v>86849882</v>
      </c>
      <c r="AK136" s="878">
        <f>P9</f>
        <v>173699764</v>
      </c>
      <c r="AL136" s="878">
        <f>+AK136</f>
        <v>173699764</v>
      </c>
      <c r="AM136" s="880">
        <f>+AL136</f>
        <v>173699764</v>
      </c>
      <c r="AN136" s="880">
        <f t="shared" ref="AN136:AR136" si="54">+AM136</f>
        <v>173699764</v>
      </c>
      <c r="AO136" s="880">
        <f t="shared" si="54"/>
        <v>173699764</v>
      </c>
      <c r="AP136" s="880">
        <f t="shared" si="54"/>
        <v>173699764</v>
      </c>
      <c r="AQ136" s="880">
        <f t="shared" si="54"/>
        <v>173699764</v>
      </c>
      <c r="AR136" s="880">
        <f t="shared" si="54"/>
        <v>173699764</v>
      </c>
      <c r="AS136" s="881">
        <f t="shared" si="53"/>
        <v>1476447994</v>
      </c>
      <c r="AT136" s="411"/>
      <c r="AU136" s="411"/>
      <c r="AV136" s="848"/>
      <c r="AW136" s="849"/>
      <c r="AX136" s="849"/>
    </row>
    <row r="137" spans="1:50" ht="12.75" x14ac:dyDescent="0.2">
      <c r="A137" s="877" t="s">
        <v>415</v>
      </c>
      <c r="B137" s="845"/>
      <c r="C137" s="845"/>
      <c r="D137" s="845"/>
      <c r="E137" s="845"/>
      <c r="F137" s="845"/>
      <c r="G137" s="845"/>
      <c r="H137" s="845"/>
      <c r="I137" s="845"/>
      <c r="J137" s="845"/>
      <c r="K137" s="845"/>
      <c r="L137" s="845"/>
      <c r="M137" s="845"/>
      <c r="N137" s="845"/>
      <c r="O137" s="845"/>
      <c r="P137" s="845"/>
      <c r="Q137" s="845"/>
      <c r="R137" s="845"/>
      <c r="S137" s="845"/>
      <c r="T137" s="845"/>
      <c r="U137" s="845"/>
      <c r="V137" s="845"/>
      <c r="W137" s="845"/>
      <c r="X137" s="845"/>
      <c r="Y137" s="878"/>
      <c r="Z137" s="878"/>
      <c r="AA137" s="878"/>
      <c r="AB137" s="878"/>
      <c r="AC137" s="878"/>
      <c r="AD137" s="878"/>
      <c r="AE137" s="878"/>
      <c r="AF137" s="878"/>
      <c r="AG137" s="878"/>
      <c r="AH137" s="879"/>
      <c r="AI137" s="879"/>
      <c r="AJ137" s="879"/>
      <c r="AK137" s="878">
        <f>Q9/2</f>
        <v>153725096</v>
      </c>
      <c r="AL137" s="878">
        <f>Q9</f>
        <v>307450192</v>
      </c>
      <c r="AM137" s="880">
        <f>+AL137</f>
        <v>307450192</v>
      </c>
      <c r="AN137" s="880">
        <f t="shared" ref="AN137:AR142" si="55">+AM137</f>
        <v>307450192</v>
      </c>
      <c r="AO137" s="880">
        <f t="shared" si="55"/>
        <v>307450192</v>
      </c>
      <c r="AP137" s="880">
        <f t="shared" si="55"/>
        <v>307450192</v>
      </c>
      <c r="AQ137" s="880">
        <f t="shared" si="55"/>
        <v>307450192</v>
      </c>
      <c r="AR137" s="880">
        <f t="shared" si="55"/>
        <v>307450192</v>
      </c>
      <c r="AS137" s="881">
        <f t="shared" si="53"/>
        <v>2305876440</v>
      </c>
      <c r="AT137" s="411"/>
      <c r="AU137" s="411"/>
      <c r="AV137" s="848"/>
      <c r="AW137" s="849"/>
      <c r="AX137" s="849"/>
    </row>
    <row r="138" spans="1:50" ht="12.75" x14ac:dyDescent="0.2">
      <c r="A138" s="877" t="s">
        <v>416</v>
      </c>
      <c r="B138" s="845"/>
      <c r="C138" s="845"/>
      <c r="D138" s="845"/>
      <c r="E138" s="845"/>
      <c r="F138" s="845"/>
      <c r="G138" s="845"/>
      <c r="H138" s="845"/>
      <c r="I138" s="845"/>
      <c r="J138" s="845"/>
      <c r="K138" s="845"/>
      <c r="L138" s="845"/>
      <c r="M138" s="845"/>
      <c r="N138" s="845"/>
      <c r="O138" s="845"/>
      <c r="P138" s="845"/>
      <c r="Q138" s="845"/>
      <c r="R138" s="845"/>
      <c r="S138" s="845"/>
      <c r="T138" s="845"/>
      <c r="U138" s="845"/>
      <c r="V138" s="845"/>
      <c r="W138" s="845"/>
      <c r="X138" s="845"/>
      <c r="Y138" s="878"/>
      <c r="Z138" s="878"/>
      <c r="AA138" s="878"/>
      <c r="AB138" s="878"/>
      <c r="AC138" s="878"/>
      <c r="AD138" s="878"/>
      <c r="AE138" s="878"/>
      <c r="AF138" s="878"/>
      <c r="AG138" s="878"/>
      <c r="AH138" s="879"/>
      <c r="AI138" s="879"/>
      <c r="AJ138" s="879"/>
      <c r="AK138" s="878"/>
      <c r="AL138" s="878">
        <f>R9/2</f>
        <v>40317920.5</v>
      </c>
      <c r="AM138" s="880">
        <f>R9</f>
        <v>80635841</v>
      </c>
      <c r="AN138" s="880">
        <f>AM138</f>
        <v>80635841</v>
      </c>
      <c r="AO138" s="880">
        <f t="shared" si="55"/>
        <v>80635841</v>
      </c>
      <c r="AP138" s="880">
        <f t="shared" si="55"/>
        <v>80635841</v>
      </c>
      <c r="AQ138" s="880">
        <f t="shared" si="55"/>
        <v>80635841</v>
      </c>
      <c r="AR138" s="880">
        <f t="shared" si="55"/>
        <v>80635841</v>
      </c>
      <c r="AS138" s="881">
        <f t="shared" si="53"/>
        <v>524132966.5</v>
      </c>
      <c r="AT138" s="411"/>
      <c r="AU138" s="411"/>
      <c r="AV138" s="848"/>
      <c r="AW138" s="849"/>
      <c r="AX138" s="849"/>
    </row>
    <row r="139" spans="1:50" ht="12.75" x14ac:dyDescent="0.2">
      <c r="A139" s="877" t="s">
        <v>417</v>
      </c>
      <c r="B139" s="850"/>
      <c r="C139" s="850"/>
      <c r="D139" s="850"/>
      <c r="E139" s="850"/>
      <c r="F139" s="850"/>
      <c r="G139" s="850"/>
      <c r="H139" s="850"/>
      <c r="I139" s="850"/>
      <c r="J139" s="850"/>
      <c r="K139" s="850"/>
      <c r="L139" s="850"/>
      <c r="M139" s="850"/>
      <c r="N139" s="850"/>
      <c r="O139" s="850"/>
      <c r="P139" s="850"/>
      <c r="Q139" s="850"/>
      <c r="R139" s="850"/>
      <c r="S139" s="850"/>
      <c r="T139" s="850"/>
      <c r="U139" s="850"/>
      <c r="V139" s="850"/>
      <c r="W139" s="850"/>
      <c r="X139" s="850"/>
      <c r="Y139" s="850"/>
      <c r="Z139" s="850"/>
      <c r="AA139" s="882"/>
      <c r="AB139" s="882"/>
      <c r="AC139" s="882"/>
      <c r="AD139" s="882"/>
      <c r="AE139" s="882"/>
      <c r="AF139" s="882"/>
      <c r="AG139" s="882"/>
      <c r="AH139" s="883"/>
      <c r="AI139" s="883"/>
      <c r="AJ139" s="883"/>
      <c r="AK139" s="884"/>
      <c r="AL139" s="884"/>
      <c r="AM139" s="880">
        <f>S9/2</f>
        <v>35289447.5</v>
      </c>
      <c r="AN139" s="880">
        <f>S9</f>
        <v>70578895</v>
      </c>
      <c r="AO139" s="880">
        <f t="shared" si="55"/>
        <v>70578895</v>
      </c>
      <c r="AP139" s="880">
        <f t="shared" si="55"/>
        <v>70578895</v>
      </c>
      <c r="AQ139" s="880">
        <f t="shared" si="55"/>
        <v>70578895</v>
      </c>
      <c r="AR139" s="880">
        <f t="shared" si="55"/>
        <v>70578895</v>
      </c>
      <c r="AS139" s="881">
        <f t="shared" si="53"/>
        <v>388183922.5</v>
      </c>
      <c r="AT139" s="411"/>
      <c r="AU139" s="411"/>
      <c r="AV139" s="848"/>
      <c r="AW139" s="849"/>
      <c r="AX139" s="849"/>
    </row>
    <row r="140" spans="1:50" ht="12.75" x14ac:dyDescent="0.2">
      <c r="A140" s="877" t="s">
        <v>418</v>
      </c>
      <c r="B140" s="850"/>
      <c r="C140" s="850"/>
      <c r="D140" s="850"/>
      <c r="E140" s="850"/>
      <c r="F140" s="850"/>
      <c r="G140" s="850"/>
      <c r="H140" s="850"/>
      <c r="I140" s="850"/>
      <c r="J140" s="850"/>
      <c r="K140" s="850"/>
      <c r="L140" s="850"/>
      <c r="M140" s="850"/>
      <c r="N140" s="850"/>
      <c r="O140" s="850"/>
      <c r="P140" s="850"/>
      <c r="Q140" s="850"/>
      <c r="R140" s="850"/>
      <c r="S140" s="850"/>
      <c r="T140" s="850"/>
      <c r="U140" s="850"/>
      <c r="V140" s="850"/>
      <c r="W140" s="850"/>
      <c r="X140" s="850"/>
      <c r="Y140" s="850"/>
      <c r="Z140" s="850"/>
      <c r="AA140" s="882"/>
      <c r="AB140" s="882"/>
      <c r="AC140" s="882"/>
      <c r="AD140" s="882"/>
      <c r="AE140" s="882"/>
      <c r="AF140" s="882"/>
      <c r="AG140" s="882"/>
      <c r="AH140" s="883"/>
      <c r="AI140" s="883"/>
      <c r="AJ140" s="883"/>
      <c r="AK140" s="884"/>
      <c r="AL140" s="884"/>
      <c r="AM140" s="880"/>
      <c r="AN140" s="880">
        <f>T9/2</f>
        <v>12668146</v>
      </c>
      <c r="AO140" s="880">
        <f>T9</f>
        <v>25336292</v>
      </c>
      <c r="AP140" s="880">
        <f t="shared" si="55"/>
        <v>25336292</v>
      </c>
      <c r="AQ140" s="880">
        <f t="shared" si="55"/>
        <v>25336292</v>
      </c>
      <c r="AR140" s="880">
        <f t="shared" si="55"/>
        <v>25336292</v>
      </c>
      <c r="AS140" s="881">
        <f t="shared" si="53"/>
        <v>114013314</v>
      </c>
      <c r="AT140" s="411"/>
      <c r="AU140" s="411"/>
      <c r="AV140" s="848"/>
      <c r="AW140" s="849"/>
      <c r="AX140" s="849"/>
    </row>
    <row r="141" spans="1:50" ht="12.75" x14ac:dyDescent="0.2">
      <c r="A141" s="877" t="s">
        <v>419</v>
      </c>
      <c r="B141" s="850"/>
      <c r="C141" s="850"/>
      <c r="D141" s="850"/>
      <c r="E141" s="850"/>
      <c r="F141" s="850"/>
      <c r="G141" s="850"/>
      <c r="H141" s="850"/>
      <c r="I141" s="850"/>
      <c r="J141" s="850"/>
      <c r="K141" s="850"/>
      <c r="L141" s="850"/>
      <c r="M141" s="850"/>
      <c r="N141" s="850"/>
      <c r="O141" s="850"/>
      <c r="P141" s="850"/>
      <c r="Q141" s="850"/>
      <c r="R141" s="850"/>
      <c r="S141" s="850"/>
      <c r="T141" s="850"/>
      <c r="U141" s="850"/>
      <c r="V141" s="850"/>
      <c r="W141" s="850"/>
      <c r="X141" s="850"/>
      <c r="Y141" s="850"/>
      <c r="Z141" s="850"/>
      <c r="AA141" s="882"/>
      <c r="AB141" s="882"/>
      <c r="AC141" s="882"/>
      <c r="AD141" s="882"/>
      <c r="AE141" s="882"/>
      <c r="AF141" s="882"/>
      <c r="AG141" s="882"/>
      <c r="AH141" s="883"/>
      <c r="AI141" s="883"/>
      <c r="AJ141" s="883"/>
      <c r="AK141" s="884"/>
      <c r="AL141" s="884"/>
      <c r="AM141" s="880"/>
      <c r="AN141" s="880"/>
      <c r="AO141" s="880">
        <f>U9/2</f>
        <v>6541172.5</v>
      </c>
      <c r="AP141" s="880">
        <f>U9</f>
        <v>13082345</v>
      </c>
      <c r="AQ141" s="880">
        <f t="shared" si="55"/>
        <v>13082345</v>
      </c>
      <c r="AR141" s="880">
        <f t="shared" si="55"/>
        <v>13082345</v>
      </c>
      <c r="AS141" s="881">
        <f t="shared" si="53"/>
        <v>45788207.5</v>
      </c>
      <c r="AT141" s="411"/>
      <c r="AU141" s="411"/>
      <c r="AV141" s="848"/>
      <c r="AW141" s="849"/>
      <c r="AX141" s="849"/>
    </row>
    <row r="142" spans="1:50" ht="12.75" x14ac:dyDescent="0.2">
      <c r="A142" s="877" t="s">
        <v>420</v>
      </c>
      <c r="B142" s="850"/>
      <c r="C142" s="850"/>
      <c r="D142" s="850"/>
      <c r="E142" s="850"/>
      <c r="F142" s="850"/>
      <c r="G142" s="850"/>
      <c r="H142" s="850"/>
      <c r="I142" s="850"/>
      <c r="J142" s="850"/>
      <c r="K142" s="850"/>
      <c r="L142" s="850"/>
      <c r="M142" s="850"/>
      <c r="N142" s="850"/>
      <c r="O142" s="850"/>
      <c r="P142" s="850"/>
      <c r="Q142" s="850"/>
      <c r="R142" s="850"/>
      <c r="S142" s="850"/>
      <c r="T142" s="850"/>
      <c r="U142" s="850"/>
      <c r="V142" s="850"/>
      <c r="W142" s="850"/>
      <c r="X142" s="850"/>
      <c r="Y142" s="850"/>
      <c r="Z142" s="850"/>
      <c r="AA142" s="882"/>
      <c r="AB142" s="882"/>
      <c r="AC142" s="882"/>
      <c r="AD142" s="882"/>
      <c r="AE142" s="882"/>
      <c r="AF142" s="882"/>
      <c r="AG142" s="882"/>
      <c r="AH142" s="883"/>
      <c r="AI142" s="883"/>
      <c r="AJ142" s="883"/>
      <c r="AK142" s="884"/>
      <c r="AL142" s="884"/>
      <c r="AM142" s="880"/>
      <c r="AN142" s="880"/>
      <c r="AO142" s="880"/>
      <c r="AP142" s="880">
        <f>V9/2</f>
        <v>8088581.5</v>
      </c>
      <c r="AQ142" s="880">
        <f>V9</f>
        <v>16177163</v>
      </c>
      <c r="AR142" s="880">
        <f t="shared" si="55"/>
        <v>16177163</v>
      </c>
      <c r="AS142" s="881">
        <f t="shared" si="53"/>
        <v>40442907.5</v>
      </c>
      <c r="AT142" s="411"/>
      <c r="AU142" s="411"/>
      <c r="AV142" s="848"/>
      <c r="AW142" s="849"/>
      <c r="AX142" s="849"/>
    </row>
    <row r="143" spans="1:50" ht="12.75" x14ac:dyDescent="0.2">
      <c r="A143" s="877" t="s">
        <v>421</v>
      </c>
      <c r="B143" s="850"/>
      <c r="C143" s="850"/>
      <c r="D143" s="850"/>
      <c r="E143" s="850"/>
      <c r="F143" s="850"/>
      <c r="G143" s="850"/>
      <c r="H143" s="850"/>
      <c r="I143" s="850"/>
      <c r="J143" s="850"/>
      <c r="K143" s="850"/>
      <c r="L143" s="850"/>
      <c r="M143" s="850"/>
      <c r="N143" s="850"/>
      <c r="O143" s="850"/>
      <c r="P143" s="850"/>
      <c r="Q143" s="850"/>
      <c r="R143" s="850"/>
      <c r="S143" s="850"/>
      <c r="T143" s="850"/>
      <c r="U143" s="850"/>
      <c r="V143" s="850"/>
      <c r="W143" s="850"/>
      <c r="X143" s="850"/>
      <c r="Y143" s="850"/>
      <c r="Z143" s="850"/>
      <c r="AA143" s="882"/>
      <c r="AB143" s="882"/>
      <c r="AC143" s="882"/>
      <c r="AD143" s="882"/>
      <c r="AE143" s="882"/>
      <c r="AF143" s="882"/>
      <c r="AG143" s="882"/>
      <c r="AH143" s="883"/>
      <c r="AI143" s="883"/>
      <c r="AJ143" s="883"/>
      <c r="AK143" s="884"/>
      <c r="AL143" s="884"/>
      <c r="AM143" s="880"/>
      <c r="AN143" s="880"/>
      <c r="AO143" s="880"/>
      <c r="AP143" s="880"/>
      <c r="AQ143" s="880">
        <f>W9/2</f>
        <v>10677555</v>
      </c>
      <c r="AR143" s="880">
        <f>W9</f>
        <v>21355110</v>
      </c>
      <c r="AS143" s="881">
        <f t="shared" si="53"/>
        <v>32032665</v>
      </c>
      <c r="AT143" s="411"/>
      <c r="AU143" s="411"/>
      <c r="AV143" s="848"/>
      <c r="AW143" s="849"/>
      <c r="AX143" s="849"/>
    </row>
    <row r="144" spans="1:50" ht="13.5" thickBot="1" x14ac:dyDescent="0.25">
      <c r="A144" s="877" t="s">
        <v>422</v>
      </c>
      <c r="B144" s="850"/>
      <c r="C144" s="850"/>
      <c r="D144" s="850"/>
      <c r="E144" s="850"/>
      <c r="F144" s="850"/>
      <c r="G144" s="850"/>
      <c r="H144" s="850"/>
      <c r="I144" s="850"/>
      <c r="J144" s="850"/>
      <c r="K144" s="850"/>
      <c r="L144" s="850"/>
      <c r="M144" s="850"/>
      <c r="N144" s="850"/>
      <c r="O144" s="850"/>
      <c r="P144" s="850"/>
      <c r="Q144" s="850"/>
      <c r="R144" s="850"/>
      <c r="S144" s="850"/>
      <c r="T144" s="850"/>
      <c r="U144" s="850"/>
      <c r="V144" s="850"/>
      <c r="W144" s="850"/>
      <c r="X144" s="850"/>
      <c r="Y144" s="850"/>
      <c r="Z144" s="850"/>
      <c r="AA144" s="882"/>
      <c r="AB144" s="882"/>
      <c r="AC144" s="882"/>
      <c r="AD144" s="882"/>
      <c r="AE144" s="882"/>
      <c r="AF144" s="882"/>
      <c r="AG144" s="882"/>
      <c r="AH144" s="883"/>
      <c r="AI144" s="883"/>
      <c r="AJ144" s="883"/>
      <c r="AK144" s="884"/>
      <c r="AL144" s="884"/>
      <c r="AM144" s="880"/>
      <c r="AN144" s="880"/>
      <c r="AO144" s="880"/>
      <c r="AP144" s="880"/>
      <c r="AQ144" s="880"/>
      <c r="AR144" s="880">
        <f>X9/2</f>
        <v>10954200.5</v>
      </c>
      <c r="AS144" s="881">
        <f t="shared" si="53"/>
        <v>10954200.5</v>
      </c>
      <c r="AT144" s="411"/>
      <c r="AU144" s="411"/>
      <c r="AV144" s="848"/>
      <c r="AW144" s="849"/>
      <c r="AX144" s="849"/>
    </row>
    <row r="145" spans="1:50" ht="12.75" x14ac:dyDescent="0.2">
      <c r="A145" s="145" t="s">
        <v>423</v>
      </c>
      <c r="B145" s="459"/>
      <c r="C145" s="459"/>
      <c r="D145" s="459"/>
      <c r="E145" s="459"/>
      <c r="F145" s="459"/>
      <c r="G145" s="459"/>
      <c r="H145" s="459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  <c r="U145" s="459"/>
      <c r="V145" s="459"/>
      <c r="W145" s="459"/>
      <c r="X145" s="459"/>
      <c r="Y145" s="459"/>
      <c r="Z145" s="459"/>
      <c r="AA145" s="146"/>
      <c r="AB145" s="146"/>
      <c r="AC145" s="146"/>
      <c r="AD145" s="146"/>
      <c r="AE145" s="146">
        <f>+P12/2</f>
        <v>1114145</v>
      </c>
      <c r="AF145" s="146">
        <f>+P12</f>
        <v>2228290</v>
      </c>
      <c r="AG145" s="146">
        <f t="shared" ref="AG145:AM150" si="56">+AF145</f>
        <v>2228290</v>
      </c>
      <c r="AH145" s="146">
        <f t="shared" si="56"/>
        <v>2228290</v>
      </c>
      <c r="AI145" s="147">
        <f t="shared" si="56"/>
        <v>2228290</v>
      </c>
      <c r="AJ145" s="146">
        <f t="shared" si="56"/>
        <v>2228290</v>
      </c>
      <c r="AK145" s="146">
        <f t="shared" si="56"/>
        <v>2228290</v>
      </c>
      <c r="AL145" s="146">
        <f t="shared" si="56"/>
        <v>2228290</v>
      </c>
      <c r="AM145" s="148">
        <f t="shared" si="56"/>
        <v>2228290</v>
      </c>
      <c r="AN145" s="148">
        <f t="shared" ref="AN145:AN151" si="57">+AM145</f>
        <v>2228290</v>
      </c>
      <c r="AO145" s="148">
        <f t="shared" ref="AO145:AO151" si="58">+AN145</f>
        <v>2228290</v>
      </c>
      <c r="AP145" s="148">
        <f t="shared" ref="AP145:AP151" si="59">+AO145</f>
        <v>2228290</v>
      </c>
      <c r="AQ145" s="148">
        <f t="shared" ref="AQ145:AQ151" si="60">+AP145</f>
        <v>2228290</v>
      </c>
      <c r="AR145" s="148">
        <f t="shared" ref="AR145:AR151" si="61">+AQ145</f>
        <v>2228290</v>
      </c>
      <c r="AS145" s="149">
        <f>SUM(E145:AR145)</f>
        <v>30081915</v>
      </c>
      <c r="AT145" s="411"/>
      <c r="AU145" s="411"/>
      <c r="AV145" s="848"/>
      <c r="AW145" s="849"/>
      <c r="AX145" s="849"/>
    </row>
    <row r="146" spans="1:50" ht="12.75" x14ac:dyDescent="0.2">
      <c r="A146" s="150" t="s">
        <v>424</v>
      </c>
      <c r="B146" s="845"/>
      <c r="C146" s="845"/>
      <c r="D146" s="845"/>
      <c r="E146" s="845"/>
      <c r="F146" s="845"/>
      <c r="G146" s="845"/>
      <c r="H146" s="845"/>
      <c r="I146" s="845"/>
      <c r="J146" s="845"/>
      <c r="K146" s="845"/>
      <c r="L146" s="845"/>
      <c r="M146" s="845"/>
      <c r="N146" s="845"/>
      <c r="O146" s="845"/>
      <c r="P146" s="845"/>
      <c r="Q146" s="845"/>
      <c r="R146" s="845"/>
      <c r="S146" s="845"/>
      <c r="T146" s="845"/>
      <c r="U146" s="845"/>
      <c r="V146" s="845"/>
      <c r="W146" s="885"/>
      <c r="X146" s="151"/>
      <c r="Y146" s="845"/>
      <c r="Z146" s="845"/>
      <c r="AA146" s="152"/>
      <c r="AB146" s="152"/>
      <c r="AC146" s="152"/>
      <c r="AD146" s="152"/>
      <c r="AE146" s="152"/>
      <c r="AF146" s="152">
        <f>+Q12/2</f>
        <v>1315078</v>
      </c>
      <c r="AG146" s="152">
        <f>+Q12</f>
        <v>2630156</v>
      </c>
      <c r="AH146" s="152">
        <f>+AG146</f>
        <v>2630156</v>
      </c>
      <c r="AI146" s="153">
        <f>+AH146</f>
        <v>2630156</v>
      </c>
      <c r="AJ146" s="152">
        <f>+AI146</f>
        <v>2630156</v>
      </c>
      <c r="AK146" s="152">
        <f>+AJ146</f>
        <v>2630156</v>
      </c>
      <c r="AL146" s="152">
        <f t="shared" si="56"/>
        <v>2630156</v>
      </c>
      <c r="AM146" s="154">
        <f t="shared" si="56"/>
        <v>2630156</v>
      </c>
      <c r="AN146" s="154">
        <f t="shared" si="57"/>
        <v>2630156</v>
      </c>
      <c r="AO146" s="154">
        <f t="shared" si="58"/>
        <v>2630156</v>
      </c>
      <c r="AP146" s="154">
        <f t="shared" si="59"/>
        <v>2630156</v>
      </c>
      <c r="AQ146" s="154">
        <f t="shared" si="60"/>
        <v>2630156</v>
      </c>
      <c r="AR146" s="154">
        <f t="shared" si="61"/>
        <v>2630156</v>
      </c>
      <c r="AS146" s="155">
        <f t="shared" ref="AS146:AS158" si="62">SUM(E146:AR146)</f>
        <v>32876950</v>
      </c>
      <c r="AT146" s="411"/>
      <c r="AU146" s="411"/>
      <c r="AV146" s="848"/>
      <c r="AW146" s="849"/>
      <c r="AX146" s="849"/>
    </row>
    <row r="147" spans="1:50" ht="12.75" x14ac:dyDescent="0.2">
      <c r="A147" s="150" t="s">
        <v>425</v>
      </c>
      <c r="B147" s="845"/>
      <c r="C147" s="845"/>
      <c r="D147" s="845"/>
      <c r="E147" s="845"/>
      <c r="F147" s="845"/>
      <c r="G147" s="845"/>
      <c r="H147" s="845"/>
      <c r="I147" s="845"/>
      <c r="J147" s="845"/>
      <c r="K147" s="845"/>
      <c r="L147" s="845"/>
      <c r="M147" s="845"/>
      <c r="N147" s="845"/>
      <c r="O147" s="845"/>
      <c r="P147" s="845"/>
      <c r="Q147" s="845"/>
      <c r="R147" s="845"/>
      <c r="S147" s="845"/>
      <c r="T147" s="845"/>
      <c r="U147" s="845"/>
      <c r="V147" s="845"/>
      <c r="W147" s="885"/>
      <c r="X147" s="151"/>
      <c r="Y147" s="845"/>
      <c r="Z147" s="845"/>
      <c r="AA147" s="152"/>
      <c r="AB147" s="152"/>
      <c r="AC147" s="152"/>
      <c r="AD147" s="152"/>
      <c r="AE147" s="152"/>
      <c r="AF147" s="152"/>
      <c r="AG147" s="152">
        <f>+R12/2</f>
        <v>119304.5</v>
      </c>
      <c r="AH147" s="152">
        <f>+R12</f>
        <v>238609</v>
      </c>
      <c r="AI147" s="153">
        <f>+AH147</f>
        <v>238609</v>
      </c>
      <c r="AJ147" s="152">
        <f>+AI147</f>
        <v>238609</v>
      </c>
      <c r="AK147" s="152">
        <f>+AJ147</f>
        <v>238609</v>
      </c>
      <c r="AL147" s="152">
        <f t="shared" si="56"/>
        <v>238609</v>
      </c>
      <c r="AM147" s="154">
        <f t="shared" si="56"/>
        <v>238609</v>
      </c>
      <c r="AN147" s="154">
        <f t="shared" si="57"/>
        <v>238609</v>
      </c>
      <c r="AO147" s="154">
        <f t="shared" si="58"/>
        <v>238609</v>
      </c>
      <c r="AP147" s="154">
        <f t="shared" si="59"/>
        <v>238609</v>
      </c>
      <c r="AQ147" s="154">
        <f t="shared" si="60"/>
        <v>238609</v>
      </c>
      <c r="AR147" s="154">
        <f t="shared" si="61"/>
        <v>238609</v>
      </c>
      <c r="AS147" s="155">
        <f t="shared" si="62"/>
        <v>2744003.5</v>
      </c>
      <c r="AT147" s="411"/>
      <c r="AU147" s="411"/>
      <c r="AV147" s="848"/>
      <c r="AW147" s="849"/>
      <c r="AX147" s="849"/>
    </row>
    <row r="148" spans="1:50" ht="12.75" x14ac:dyDescent="0.2">
      <c r="A148" s="150" t="s">
        <v>426</v>
      </c>
      <c r="B148" s="845"/>
      <c r="C148" s="845"/>
      <c r="D148" s="845"/>
      <c r="E148" s="845"/>
      <c r="F148" s="845"/>
      <c r="G148" s="845"/>
      <c r="H148" s="845"/>
      <c r="I148" s="845"/>
      <c r="J148" s="845"/>
      <c r="K148" s="845"/>
      <c r="L148" s="845"/>
      <c r="M148" s="845"/>
      <c r="N148" s="845"/>
      <c r="O148" s="845"/>
      <c r="P148" s="845"/>
      <c r="Q148" s="845"/>
      <c r="R148" s="845"/>
      <c r="S148" s="845"/>
      <c r="T148" s="845"/>
      <c r="U148" s="845"/>
      <c r="V148" s="845"/>
      <c r="W148" s="885"/>
      <c r="X148" s="151"/>
      <c r="Y148" s="845"/>
      <c r="Z148" s="845"/>
      <c r="AA148" s="152"/>
      <c r="AB148" s="152"/>
      <c r="AC148" s="152"/>
      <c r="AD148" s="152"/>
      <c r="AE148" s="152"/>
      <c r="AF148" s="152"/>
      <c r="AG148" s="152"/>
      <c r="AH148" s="152">
        <f>+S12/2</f>
        <v>0</v>
      </c>
      <c r="AI148" s="153"/>
      <c r="AJ148" s="152"/>
      <c r="AK148" s="152"/>
      <c r="AL148" s="152">
        <f t="shared" si="56"/>
        <v>0</v>
      </c>
      <c r="AM148" s="154">
        <f t="shared" si="56"/>
        <v>0</v>
      </c>
      <c r="AN148" s="154">
        <f t="shared" si="57"/>
        <v>0</v>
      </c>
      <c r="AO148" s="154">
        <f t="shared" si="58"/>
        <v>0</v>
      </c>
      <c r="AP148" s="154">
        <f t="shared" si="59"/>
        <v>0</v>
      </c>
      <c r="AQ148" s="154">
        <f t="shared" si="60"/>
        <v>0</v>
      </c>
      <c r="AR148" s="154">
        <f t="shared" si="61"/>
        <v>0</v>
      </c>
      <c r="AS148" s="155">
        <f t="shared" si="62"/>
        <v>0</v>
      </c>
      <c r="AT148" s="411"/>
      <c r="AU148" s="411"/>
      <c r="AV148" s="848"/>
      <c r="AW148" s="849"/>
      <c r="AX148" s="849"/>
    </row>
    <row r="149" spans="1:50" ht="12.75" x14ac:dyDescent="0.2">
      <c r="A149" s="150" t="s">
        <v>427</v>
      </c>
      <c r="B149" s="845"/>
      <c r="C149" s="845"/>
      <c r="D149" s="845"/>
      <c r="E149" s="845"/>
      <c r="F149" s="845"/>
      <c r="G149" s="845"/>
      <c r="H149" s="845"/>
      <c r="I149" s="845"/>
      <c r="J149" s="845"/>
      <c r="K149" s="845"/>
      <c r="L149" s="845"/>
      <c r="M149" s="845"/>
      <c r="N149" s="845"/>
      <c r="O149" s="845"/>
      <c r="P149" s="845"/>
      <c r="Q149" s="845"/>
      <c r="R149" s="845"/>
      <c r="S149" s="845"/>
      <c r="T149" s="845"/>
      <c r="U149" s="845"/>
      <c r="V149" s="845"/>
      <c r="W149" s="885"/>
      <c r="X149" s="151"/>
      <c r="Y149" s="845"/>
      <c r="Z149" s="845"/>
      <c r="AA149" s="152"/>
      <c r="AB149" s="152"/>
      <c r="AC149" s="152"/>
      <c r="AD149" s="152"/>
      <c r="AE149" s="152"/>
      <c r="AF149" s="152"/>
      <c r="AG149" s="152"/>
      <c r="AH149" s="152"/>
      <c r="AI149" s="153">
        <f>T12/2</f>
        <v>0</v>
      </c>
      <c r="AJ149" s="152">
        <f>T12</f>
        <v>0</v>
      </c>
      <c r="AK149" s="152"/>
      <c r="AL149" s="152">
        <f t="shared" si="56"/>
        <v>0</v>
      </c>
      <c r="AM149" s="154">
        <f t="shared" si="56"/>
        <v>0</v>
      </c>
      <c r="AN149" s="154">
        <f t="shared" si="57"/>
        <v>0</v>
      </c>
      <c r="AO149" s="154">
        <f t="shared" si="58"/>
        <v>0</v>
      </c>
      <c r="AP149" s="154">
        <f t="shared" si="59"/>
        <v>0</v>
      </c>
      <c r="AQ149" s="154">
        <f t="shared" si="60"/>
        <v>0</v>
      </c>
      <c r="AR149" s="154">
        <f t="shared" si="61"/>
        <v>0</v>
      </c>
      <c r="AS149" s="155">
        <f t="shared" si="62"/>
        <v>0</v>
      </c>
      <c r="AT149" s="411"/>
      <c r="AU149" s="411"/>
      <c r="AV149" s="848"/>
      <c r="AW149" s="849"/>
      <c r="AX149" s="849"/>
    </row>
    <row r="150" spans="1:50" ht="12.75" x14ac:dyDescent="0.2">
      <c r="A150" s="150" t="s">
        <v>428</v>
      </c>
      <c r="B150" s="845"/>
      <c r="C150" s="845"/>
      <c r="D150" s="845"/>
      <c r="E150" s="845"/>
      <c r="F150" s="845"/>
      <c r="G150" s="845"/>
      <c r="H150" s="845"/>
      <c r="I150" s="845"/>
      <c r="J150" s="845"/>
      <c r="K150" s="845"/>
      <c r="L150" s="845"/>
      <c r="M150" s="845"/>
      <c r="N150" s="845"/>
      <c r="O150" s="845"/>
      <c r="P150" s="845"/>
      <c r="Q150" s="845"/>
      <c r="R150" s="845"/>
      <c r="S150" s="845"/>
      <c r="T150" s="845"/>
      <c r="U150" s="845"/>
      <c r="V150" s="845"/>
      <c r="W150" s="885"/>
      <c r="X150" s="151"/>
      <c r="Y150" s="845"/>
      <c r="Z150" s="845"/>
      <c r="AA150" s="152"/>
      <c r="AB150" s="152"/>
      <c r="AC150" s="152"/>
      <c r="AD150" s="152"/>
      <c r="AE150" s="152"/>
      <c r="AF150" s="152"/>
      <c r="AG150" s="152"/>
      <c r="AH150" s="152"/>
      <c r="AI150" s="153"/>
      <c r="AJ150" s="152">
        <f>U12/2</f>
        <v>0</v>
      </c>
      <c r="AK150" s="152"/>
      <c r="AL150" s="152">
        <f t="shared" si="56"/>
        <v>0</v>
      </c>
      <c r="AM150" s="154">
        <f t="shared" si="56"/>
        <v>0</v>
      </c>
      <c r="AN150" s="154">
        <f t="shared" si="57"/>
        <v>0</v>
      </c>
      <c r="AO150" s="154">
        <f t="shared" si="58"/>
        <v>0</v>
      </c>
      <c r="AP150" s="154">
        <f t="shared" si="59"/>
        <v>0</v>
      </c>
      <c r="AQ150" s="154">
        <f t="shared" si="60"/>
        <v>0</v>
      </c>
      <c r="AR150" s="154">
        <f t="shared" si="61"/>
        <v>0</v>
      </c>
      <c r="AS150" s="155">
        <f t="shared" si="62"/>
        <v>0</v>
      </c>
      <c r="AT150" s="411"/>
      <c r="AU150" s="411"/>
      <c r="AV150" s="848"/>
      <c r="AW150" s="849"/>
      <c r="AX150" s="849"/>
    </row>
    <row r="151" spans="1:50" ht="12.75" x14ac:dyDescent="0.2">
      <c r="A151" s="150" t="s">
        <v>429</v>
      </c>
      <c r="B151" s="845"/>
      <c r="C151" s="845"/>
      <c r="D151" s="845"/>
      <c r="E151" s="845"/>
      <c r="F151" s="845"/>
      <c r="G151" s="845"/>
      <c r="H151" s="845"/>
      <c r="I151" s="845"/>
      <c r="J151" s="845"/>
      <c r="K151" s="845"/>
      <c r="L151" s="845"/>
      <c r="M151" s="845"/>
      <c r="N151" s="845"/>
      <c r="O151" s="845"/>
      <c r="P151" s="845"/>
      <c r="Q151" s="845"/>
      <c r="R151" s="845"/>
      <c r="S151" s="845"/>
      <c r="T151" s="845"/>
      <c r="U151" s="845"/>
      <c r="V151" s="845"/>
      <c r="W151" s="885"/>
      <c r="X151" s="151"/>
      <c r="Y151" s="845"/>
      <c r="Z151" s="845"/>
      <c r="AA151" s="152"/>
      <c r="AB151" s="152"/>
      <c r="AC151" s="152"/>
      <c r="AD151" s="152"/>
      <c r="AE151" s="152"/>
      <c r="AF151" s="152"/>
      <c r="AG151" s="152"/>
      <c r="AH151" s="152"/>
      <c r="AI151" s="153"/>
      <c r="AJ151" s="152"/>
      <c r="AK151" s="152">
        <f>V12/2</f>
        <v>20133645</v>
      </c>
      <c r="AL151" s="152">
        <f>V12</f>
        <v>40267290</v>
      </c>
      <c r="AM151" s="154">
        <f>+AL151</f>
        <v>40267290</v>
      </c>
      <c r="AN151" s="154">
        <f t="shared" si="57"/>
        <v>40267290</v>
      </c>
      <c r="AO151" s="154">
        <f t="shared" si="58"/>
        <v>40267290</v>
      </c>
      <c r="AP151" s="154">
        <f t="shared" si="59"/>
        <v>40267290</v>
      </c>
      <c r="AQ151" s="154">
        <f t="shared" si="60"/>
        <v>40267290</v>
      </c>
      <c r="AR151" s="154">
        <f t="shared" si="61"/>
        <v>40267290</v>
      </c>
      <c r="AS151" s="155">
        <f t="shared" si="62"/>
        <v>302004675</v>
      </c>
      <c r="AT151" s="411"/>
      <c r="AU151" s="411"/>
      <c r="AV151" s="848"/>
      <c r="AW151" s="849"/>
      <c r="AX151" s="849"/>
    </row>
    <row r="152" spans="1:50" ht="12.75" x14ac:dyDescent="0.2">
      <c r="A152" s="150" t="s">
        <v>430</v>
      </c>
      <c r="B152" s="845"/>
      <c r="C152" s="845"/>
      <c r="D152" s="845"/>
      <c r="E152" s="845"/>
      <c r="F152" s="845"/>
      <c r="G152" s="845"/>
      <c r="H152" s="845"/>
      <c r="I152" s="845"/>
      <c r="J152" s="845"/>
      <c r="K152" s="845"/>
      <c r="L152" s="845"/>
      <c r="M152" s="845"/>
      <c r="N152" s="845"/>
      <c r="O152" s="845"/>
      <c r="P152" s="845"/>
      <c r="Q152" s="845"/>
      <c r="R152" s="845"/>
      <c r="S152" s="845"/>
      <c r="T152" s="845"/>
      <c r="U152" s="845"/>
      <c r="V152" s="845"/>
      <c r="W152" s="845"/>
      <c r="X152" s="885"/>
      <c r="Y152" s="151"/>
      <c r="Z152" s="845"/>
      <c r="AA152" s="845"/>
      <c r="AB152" s="152"/>
      <c r="AC152" s="152"/>
      <c r="AD152" s="152"/>
      <c r="AE152" s="152"/>
      <c r="AF152" s="152"/>
      <c r="AG152" s="152"/>
      <c r="AH152" s="152"/>
      <c r="AI152" s="152"/>
      <c r="AJ152" s="153"/>
      <c r="AK152" s="152"/>
      <c r="AL152" s="152">
        <f>W12/2</f>
        <v>0</v>
      </c>
      <c r="AM152" s="154">
        <f>W12</f>
        <v>0</v>
      </c>
      <c r="AN152" s="154"/>
      <c r="AO152" s="154"/>
      <c r="AP152" s="154"/>
      <c r="AQ152" s="154"/>
      <c r="AR152" s="154"/>
      <c r="AS152" s="155">
        <f t="shared" si="62"/>
        <v>0</v>
      </c>
      <c r="AT152" s="411"/>
      <c r="AU152" s="411"/>
      <c r="AV152" s="848"/>
      <c r="AW152" s="849"/>
      <c r="AX152" s="849"/>
    </row>
    <row r="153" spans="1:50" ht="12.75" x14ac:dyDescent="0.2">
      <c r="A153" s="150" t="s">
        <v>431</v>
      </c>
      <c r="B153" s="886"/>
      <c r="C153" s="886"/>
      <c r="D153" s="886"/>
      <c r="E153" s="886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50"/>
      <c r="V153" s="850"/>
      <c r="W153" s="887"/>
      <c r="X153" s="156"/>
      <c r="Y153" s="850"/>
      <c r="Z153" s="850"/>
      <c r="AA153" s="850"/>
      <c r="AB153" s="850"/>
      <c r="AC153" s="850"/>
      <c r="AD153" s="850"/>
      <c r="AE153" s="850"/>
      <c r="AF153" s="886"/>
      <c r="AG153" s="886"/>
      <c r="AH153" s="886"/>
      <c r="AI153" s="157"/>
      <c r="AJ153" s="886"/>
      <c r="AK153" s="886"/>
      <c r="AL153" s="886"/>
      <c r="AM153" s="154">
        <f>X12/2</f>
        <v>22544588</v>
      </c>
      <c r="AN153" s="154">
        <f>X12</f>
        <v>45089176</v>
      </c>
      <c r="AO153" s="154">
        <f>AN153</f>
        <v>45089176</v>
      </c>
      <c r="AP153" s="154">
        <f t="shared" ref="AP153:AR153" si="63">AO153</f>
        <v>45089176</v>
      </c>
      <c r="AQ153" s="154">
        <f t="shared" si="63"/>
        <v>45089176</v>
      </c>
      <c r="AR153" s="154">
        <f t="shared" si="63"/>
        <v>45089176</v>
      </c>
      <c r="AS153" s="155">
        <f t="shared" si="62"/>
        <v>247990468</v>
      </c>
      <c r="AT153" s="411"/>
      <c r="AU153" s="411"/>
      <c r="AV153" s="848"/>
      <c r="AW153" s="849"/>
      <c r="AX153" s="849"/>
    </row>
    <row r="154" spans="1:50" ht="12.75" x14ac:dyDescent="0.2">
      <c r="A154" s="150" t="s">
        <v>432</v>
      </c>
      <c r="B154" s="886"/>
      <c r="C154" s="886"/>
      <c r="D154" s="886"/>
      <c r="E154" s="886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50"/>
      <c r="V154" s="850"/>
      <c r="W154" s="887"/>
      <c r="X154" s="156"/>
      <c r="Y154" s="850"/>
      <c r="Z154" s="850"/>
      <c r="AA154" s="850"/>
      <c r="AB154" s="850"/>
      <c r="AC154" s="850"/>
      <c r="AD154" s="850"/>
      <c r="AE154" s="850"/>
      <c r="AF154" s="886"/>
      <c r="AG154" s="886"/>
      <c r="AH154" s="886"/>
      <c r="AI154" s="157"/>
      <c r="AJ154" s="886"/>
      <c r="AK154" s="886"/>
      <c r="AL154" s="886"/>
      <c r="AM154" s="168"/>
      <c r="AN154" s="168">
        <f>Y12/2</f>
        <v>309707</v>
      </c>
      <c r="AO154" s="168">
        <f>Y12</f>
        <v>619414</v>
      </c>
      <c r="AP154" s="168">
        <f>AO154</f>
        <v>619414</v>
      </c>
      <c r="AQ154" s="168">
        <f t="shared" ref="AQ154:AR154" si="64">AP154</f>
        <v>619414</v>
      </c>
      <c r="AR154" s="154">
        <f t="shared" si="64"/>
        <v>619414</v>
      </c>
      <c r="AS154" s="155">
        <f t="shared" si="62"/>
        <v>2787363</v>
      </c>
      <c r="AT154" s="411"/>
      <c r="AU154" s="411"/>
      <c r="AV154" s="848"/>
      <c r="AW154" s="849"/>
      <c r="AX154" s="849"/>
    </row>
    <row r="155" spans="1:50" ht="12.75" x14ac:dyDescent="0.2">
      <c r="A155" s="150" t="s">
        <v>433</v>
      </c>
      <c r="B155" s="886"/>
      <c r="C155" s="886"/>
      <c r="D155" s="886"/>
      <c r="E155" s="886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50"/>
      <c r="V155" s="850"/>
      <c r="W155" s="887"/>
      <c r="X155" s="156"/>
      <c r="Y155" s="850"/>
      <c r="Z155" s="850"/>
      <c r="AA155" s="850"/>
      <c r="AB155" s="850"/>
      <c r="AC155" s="850"/>
      <c r="AD155" s="850"/>
      <c r="AE155" s="850"/>
      <c r="AF155" s="886"/>
      <c r="AG155" s="886"/>
      <c r="AH155" s="886"/>
      <c r="AI155" s="157"/>
      <c r="AJ155" s="886"/>
      <c r="AK155" s="886"/>
      <c r="AL155" s="886"/>
      <c r="AM155" s="168"/>
      <c r="AN155" s="168"/>
      <c r="AO155" s="168">
        <f>Z12/2</f>
        <v>942817.56084903504</v>
      </c>
      <c r="AP155" s="168">
        <f>Z12</f>
        <v>1885635.1216980701</v>
      </c>
      <c r="AQ155" s="168">
        <f>AP155</f>
        <v>1885635.1216980701</v>
      </c>
      <c r="AR155" s="154">
        <f>AQ155</f>
        <v>1885635.1216980701</v>
      </c>
      <c r="AS155" s="155">
        <f t="shared" si="62"/>
        <v>6599722.9259432452</v>
      </c>
      <c r="AT155" s="411"/>
      <c r="AU155" s="411"/>
      <c r="AV155" s="848"/>
      <c r="AW155" s="849"/>
      <c r="AX155" s="849"/>
    </row>
    <row r="156" spans="1:50" ht="12.75" x14ac:dyDescent="0.2">
      <c r="A156" s="150" t="s">
        <v>434</v>
      </c>
      <c r="B156" s="886"/>
      <c r="C156" s="886"/>
      <c r="D156" s="886"/>
      <c r="E156" s="886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50"/>
      <c r="V156" s="850"/>
      <c r="W156" s="887"/>
      <c r="X156" s="156"/>
      <c r="Y156" s="850"/>
      <c r="Z156" s="850"/>
      <c r="AA156" s="850"/>
      <c r="AB156" s="850"/>
      <c r="AC156" s="850"/>
      <c r="AD156" s="850"/>
      <c r="AE156" s="850"/>
      <c r="AF156" s="886"/>
      <c r="AG156" s="886"/>
      <c r="AH156" s="886"/>
      <c r="AI156" s="157"/>
      <c r="AJ156" s="886"/>
      <c r="AK156" s="886"/>
      <c r="AL156" s="886"/>
      <c r="AM156" s="168"/>
      <c r="AN156" s="168"/>
      <c r="AO156" s="168"/>
      <c r="AP156" s="168">
        <f>AA12/2</f>
        <v>6780371.6106730048</v>
      </c>
      <c r="AQ156" s="168">
        <f>AA12</f>
        <v>13560743.22134601</v>
      </c>
      <c r="AR156" s="154">
        <f>AQ156</f>
        <v>13560743.22134601</v>
      </c>
      <c r="AS156" s="155">
        <f t="shared" si="62"/>
        <v>33901858.053365022</v>
      </c>
      <c r="AT156" s="411"/>
      <c r="AU156" s="411"/>
      <c r="AV156" s="848"/>
      <c r="AW156" s="849"/>
      <c r="AX156" s="849"/>
    </row>
    <row r="157" spans="1:50" ht="12.75" x14ac:dyDescent="0.2">
      <c r="A157" s="150" t="s">
        <v>435</v>
      </c>
      <c r="B157" s="886"/>
      <c r="C157" s="886"/>
      <c r="D157" s="886"/>
      <c r="E157" s="886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50"/>
      <c r="V157" s="850"/>
      <c r="W157" s="887"/>
      <c r="X157" s="156"/>
      <c r="Y157" s="850"/>
      <c r="Z157" s="850"/>
      <c r="AA157" s="850"/>
      <c r="AB157" s="850"/>
      <c r="AC157" s="850"/>
      <c r="AD157" s="850"/>
      <c r="AE157" s="850"/>
      <c r="AF157" s="886"/>
      <c r="AG157" s="886"/>
      <c r="AH157" s="886"/>
      <c r="AI157" s="157"/>
      <c r="AJ157" s="886"/>
      <c r="AK157" s="886"/>
      <c r="AL157" s="886"/>
      <c r="AM157" s="168"/>
      <c r="AN157" s="168"/>
      <c r="AO157" s="168"/>
      <c r="AP157" s="168"/>
      <c r="AQ157" s="168">
        <f>AB12/2</f>
        <v>56852221.563981041</v>
      </c>
      <c r="AR157" s="154">
        <f>AB12</f>
        <v>113704443.12796208</v>
      </c>
      <c r="AS157" s="155">
        <f t="shared" si="62"/>
        <v>170556664.69194311</v>
      </c>
      <c r="AT157" s="411"/>
      <c r="AU157" s="411"/>
      <c r="AV157" s="848"/>
      <c r="AW157" s="849"/>
      <c r="AX157" s="849"/>
    </row>
    <row r="158" spans="1:50" ht="13.5" thickBot="1" x14ac:dyDescent="0.25">
      <c r="A158" s="150" t="s">
        <v>436</v>
      </c>
      <c r="B158" s="886"/>
      <c r="C158" s="886"/>
      <c r="D158" s="886"/>
      <c r="E158" s="886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50"/>
      <c r="V158" s="850"/>
      <c r="W158" s="887"/>
      <c r="X158" s="156"/>
      <c r="Y158" s="850"/>
      <c r="Z158" s="850"/>
      <c r="AA158" s="850"/>
      <c r="AB158" s="850"/>
      <c r="AC158" s="850"/>
      <c r="AD158" s="850"/>
      <c r="AE158" s="850"/>
      <c r="AF158" s="886"/>
      <c r="AG158" s="886"/>
      <c r="AH158" s="886"/>
      <c r="AI158" s="157"/>
      <c r="AJ158" s="886"/>
      <c r="AK158" s="886"/>
      <c r="AL158" s="886"/>
      <c r="AM158" s="168"/>
      <c r="AN158" s="168"/>
      <c r="AO158" s="168"/>
      <c r="AP158" s="168"/>
      <c r="AQ158" s="168"/>
      <c r="AR158" s="154">
        <f>AC12/2</f>
        <v>572590.39395574748</v>
      </c>
      <c r="AS158" s="158">
        <f t="shared" si="62"/>
        <v>572590.39395574748</v>
      </c>
      <c r="AT158" s="411"/>
      <c r="AU158" s="411"/>
      <c r="AV158" s="848"/>
      <c r="AW158" s="849"/>
      <c r="AX158" s="849"/>
    </row>
    <row r="159" spans="1:50" ht="12.75" x14ac:dyDescent="0.2">
      <c r="A159" s="888" t="s">
        <v>437</v>
      </c>
      <c r="B159" s="159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459"/>
      <c r="V159" s="459"/>
      <c r="W159" s="459"/>
      <c r="X159" s="160"/>
      <c r="Y159" s="459"/>
      <c r="Z159" s="459"/>
      <c r="AA159" s="459"/>
      <c r="AB159" s="459"/>
      <c r="AC159" s="459"/>
      <c r="AD159" s="459"/>
      <c r="AE159" s="459"/>
      <c r="AF159" s="889">
        <f>+Q13/2</f>
        <v>719745</v>
      </c>
      <c r="AG159" s="889">
        <f>+Q13</f>
        <v>1439490</v>
      </c>
      <c r="AH159" s="889">
        <f t="shared" ref="AH159:AM159" si="65">+AG159</f>
        <v>1439490</v>
      </c>
      <c r="AI159" s="889">
        <f t="shared" si="65"/>
        <v>1439490</v>
      </c>
      <c r="AJ159" s="889">
        <f t="shared" si="65"/>
        <v>1439490</v>
      </c>
      <c r="AK159" s="889">
        <f t="shared" si="65"/>
        <v>1439490</v>
      </c>
      <c r="AL159" s="889">
        <f t="shared" si="65"/>
        <v>1439490</v>
      </c>
      <c r="AM159" s="890">
        <f t="shared" si="65"/>
        <v>1439490</v>
      </c>
      <c r="AN159" s="890">
        <f t="shared" ref="AN159:AN164" si="66">+AM159</f>
        <v>1439490</v>
      </c>
      <c r="AO159" s="890">
        <f t="shared" ref="AO159:AO166" si="67">+AN159</f>
        <v>1439490</v>
      </c>
      <c r="AP159" s="890">
        <f t="shared" ref="AP159:AP167" si="68">+AO159</f>
        <v>1439490</v>
      </c>
      <c r="AQ159" s="890">
        <f t="shared" ref="AQ159:AQ168" si="69">+AP159</f>
        <v>1439490</v>
      </c>
      <c r="AR159" s="890">
        <f t="shared" ref="AR159:AR169" si="70">+AQ159</f>
        <v>1439490</v>
      </c>
      <c r="AS159" s="891">
        <f>SUM(E159:AR159)</f>
        <v>17993625</v>
      </c>
      <c r="AT159" s="411"/>
      <c r="AU159" s="411"/>
      <c r="AV159" s="848"/>
      <c r="AW159" s="849"/>
      <c r="AX159" s="849"/>
    </row>
    <row r="160" spans="1:50" ht="12.75" x14ac:dyDescent="0.2">
      <c r="A160" s="892" t="s">
        <v>438</v>
      </c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463"/>
      <c r="V160" s="463"/>
      <c r="W160" s="463"/>
      <c r="X160" s="161"/>
      <c r="Y160" s="463"/>
      <c r="Z160" s="463"/>
      <c r="AA160" s="463"/>
      <c r="AB160" s="463"/>
      <c r="AC160" s="463"/>
      <c r="AD160" s="463"/>
      <c r="AE160" s="463"/>
      <c r="AF160" s="893"/>
      <c r="AG160" s="893">
        <f>+R13/2</f>
        <v>12404140.5</v>
      </c>
      <c r="AH160" s="893">
        <f>+R13</f>
        <v>24808281</v>
      </c>
      <c r="AI160" s="893">
        <f>+AH160</f>
        <v>24808281</v>
      </c>
      <c r="AJ160" s="893">
        <f>+AI160</f>
        <v>24808281</v>
      </c>
      <c r="AK160" s="893">
        <f>+AJ160</f>
        <v>24808281</v>
      </c>
      <c r="AL160" s="893">
        <f>+AK160</f>
        <v>24808281</v>
      </c>
      <c r="AM160" s="894">
        <f>+AL160</f>
        <v>24808281</v>
      </c>
      <c r="AN160" s="894">
        <f t="shared" si="66"/>
        <v>24808281</v>
      </c>
      <c r="AO160" s="894">
        <f t="shared" si="67"/>
        <v>24808281</v>
      </c>
      <c r="AP160" s="894">
        <f t="shared" si="68"/>
        <v>24808281</v>
      </c>
      <c r="AQ160" s="894">
        <f t="shared" si="69"/>
        <v>24808281</v>
      </c>
      <c r="AR160" s="894">
        <f t="shared" si="70"/>
        <v>24808281</v>
      </c>
      <c r="AS160" s="895">
        <f t="shared" ref="AS160:AS176" si="71">SUM(E160:AR160)</f>
        <v>285295231.5</v>
      </c>
      <c r="AT160" s="411"/>
      <c r="AU160" s="411"/>
      <c r="AV160" s="848"/>
      <c r="AW160" s="849"/>
      <c r="AX160" s="849"/>
    </row>
    <row r="161" spans="1:50" ht="12.75" x14ac:dyDescent="0.2">
      <c r="A161" s="892" t="s">
        <v>439</v>
      </c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463"/>
      <c r="V161" s="463"/>
      <c r="W161" s="463"/>
      <c r="X161" s="161"/>
      <c r="Y161" s="463"/>
      <c r="Z161" s="463"/>
      <c r="AA161" s="463"/>
      <c r="AB161" s="463"/>
      <c r="AC161" s="463"/>
      <c r="AD161" s="463"/>
      <c r="AE161" s="463"/>
      <c r="AF161" s="893"/>
      <c r="AG161" s="893"/>
      <c r="AH161" s="893">
        <f>+S13/2</f>
        <v>3501259.5</v>
      </c>
      <c r="AI161" s="893">
        <f>+S13</f>
        <v>7002519</v>
      </c>
      <c r="AJ161" s="893">
        <f>+AI161</f>
        <v>7002519</v>
      </c>
      <c r="AK161" s="893">
        <f>+AJ161</f>
        <v>7002519</v>
      </c>
      <c r="AL161" s="893">
        <f>+AK161</f>
        <v>7002519</v>
      </c>
      <c r="AM161" s="894">
        <f>+AL161</f>
        <v>7002519</v>
      </c>
      <c r="AN161" s="894">
        <f t="shared" si="66"/>
        <v>7002519</v>
      </c>
      <c r="AO161" s="894">
        <f t="shared" si="67"/>
        <v>7002519</v>
      </c>
      <c r="AP161" s="894">
        <f t="shared" si="68"/>
        <v>7002519</v>
      </c>
      <c r="AQ161" s="894">
        <f t="shared" si="69"/>
        <v>7002519</v>
      </c>
      <c r="AR161" s="894">
        <f t="shared" si="70"/>
        <v>7002519</v>
      </c>
      <c r="AS161" s="895">
        <f t="shared" si="71"/>
        <v>73526449.5</v>
      </c>
      <c r="AT161" s="411"/>
      <c r="AU161" s="411"/>
      <c r="AV161" s="848"/>
      <c r="AW161" s="849"/>
      <c r="AX161" s="849"/>
    </row>
    <row r="162" spans="1:50" ht="12.75" x14ac:dyDescent="0.2">
      <c r="A162" s="892" t="s">
        <v>440</v>
      </c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463"/>
      <c r="V162" s="463"/>
      <c r="W162" s="463"/>
      <c r="X162" s="161"/>
      <c r="Y162" s="463"/>
      <c r="Z162" s="463"/>
      <c r="AA162" s="463"/>
      <c r="AB162" s="463"/>
      <c r="AC162" s="463"/>
      <c r="AD162" s="463"/>
      <c r="AE162" s="463"/>
      <c r="AF162" s="893"/>
      <c r="AG162" s="893"/>
      <c r="AH162" s="893"/>
      <c r="AI162" s="893">
        <f>T13/2</f>
        <v>4365569.5</v>
      </c>
      <c r="AJ162" s="893">
        <f>T13</f>
        <v>8731139</v>
      </c>
      <c r="AK162" s="893">
        <f>+AJ162</f>
        <v>8731139</v>
      </c>
      <c r="AL162" s="893">
        <f>+AK162</f>
        <v>8731139</v>
      </c>
      <c r="AM162" s="894">
        <f>+AL162</f>
        <v>8731139</v>
      </c>
      <c r="AN162" s="894">
        <f t="shared" si="66"/>
        <v>8731139</v>
      </c>
      <c r="AO162" s="894">
        <f t="shared" si="67"/>
        <v>8731139</v>
      </c>
      <c r="AP162" s="894">
        <f t="shared" si="68"/>
        <v>8731139</v>
      </c>
      <c r="AQ162" s="894">
        <f t="shared" si="69"/>
        <v>8731139</v>
      </c>
      <c r="AR162" s="894">
        <f t="shared" si="70"/>
        <v>8731139</v>
      </c>
      <c r="AS162" s="895">
        <f t="shared" si="71"/>
        <v>82945820.5</v>
      </c>
      <c r="AT162" s="411"/>
      <c r="AU162" s="411"/>
      <c r="AV162" s="848"/>
      <c r="AW162" s="849"/>
      <c r="AX162" s="849"/>
    </row>
    <row r="163" spans="1:50" ht="12.75" x14ac:dyDescent="0.2">
      <c r="A163" s="892" t="s">
        <v>441</v>
      </c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463"/>
      <c r="V163" s="463"/>
      <c r="W163" s="463"/>
      <c r="X163" s="161"/>
      <c r="Y163" s="463"/>
      <c r="Z163" s="463"/>
      <c r="AA163" s="463"/>
      <c r="AB163" s="463"/>
      <c r="AC163" s="463"/>
      <c r="AD163" s="463"/>
      <c r="AE163" s="463"/>
      <c r="AF163" s="893"/>
      <c r="AG163" s="893"/>
      <c r="AH163" s="893"/>
      <c r="AI163" s="893"/>
      <c r="AJ163" s="893">
        <f>U13/2</f>
        <v>2733186</v>
      </c>
      <c r="AK163" s="893">
        <f>U13</f>
        <v>5466372</v>
      </c>
      <c r="AL163" s="893">
        <f>+AK163</f>
        <v>5466372</v>
      </c>
      <c r="AM163" s="894">
        <f>+AL163</f>
        <v>5466372</v>
      </c>
      <c r="AN163" s="894">
        <f t="shared" si="66"/>
        <v>5466372</v>
      </c>
      <c r="AO163" s="894">
        <f t="shared" si="67"/>
        <v>5466372</v>
      </c>
      <c r="AP163" s="894">
        <f t="shared" si="68"/>
        <v>5466372</v>
      </c>
      <c r="AQ163" s="894">
        <f t="shared" si="69"/>
        <v>5466372</v>
      </c>
      <c r="AR163" s="894">
        <f t="shared" si="70"/>
        <v>5466372</v>
      </c>
      <c r="AS163" s="895">
        <f t="shared" si="71"/>
        <v>46464162</v>
      </c>
      <c r="AT163" s="411"/>
      <c r="AU163" s="411"/>
      <c r="AV163" s="848"/>
      <c r="AW163" s="849"/>
      <c r="AX163" s="849"/>
    </row>
    <row r="164" spans="1:50" ht="12.75" x14ac:dyDescent="0.2">
      <c r="A164" s="892" t="s">
        <v>442</v>
      </c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463"/>
      <c r="V164" s="463"/>
      <c r="W164" s="463"/>
      <c r="X164" s="161"/>
      <c r="Y164" s="463"/>
      <c r="Z164" s="463"/>
      <c r="AA164" s="463"/>
      <c r="AB164" s="463"/>
      <c r="AC164" s="463"/>
      <c r="AD164" s="463"/>
      <c r="AE164" s="463"/>
      <c r="AF164" s="893"/>
      <c r="AG164" s="893"/>
      <c r="AH164" s="893"/>
      <c r="AI164" s="893"/>
      <c r="AJ164" s="893"/>
      <c r="AK164" s="893">
        <f>V13/2</f>
        <v>1121291</v>
      </c>
      <c r="AL164" s="893">
        <f>+V13</f>
        <v>2242582</v>
      </c>
      <c r="AM164" s="894">
        <f>+AL164</f>
        <v>2242582</v>
      </c>
      <c r="AN164" s="894">
        <f t="shared" si="66"/>
        <v>2242582</v>
      </c>
      <c r="AO164" s="894">
        <f t="shared" si="67"/>
        <v>2242582</v>
      </c>
      <c r="AP164" s="894">
        <f t="shared" si="68"/>
        <v>2242582</v>
      </c>
      <c r="AQ164" s="894">
        <f t="shared" si="69"/>
        <v>2242582</v>
      </c>
      <c r="AR164" s="894">
        <f t="shared" si="70"/>
        <v>2242582</v>
      </c>
      <c r="AS164" s="895">
        <f t="shared" si="71"/>
        <v>16819365</v>
      </c>
      <c r="AT164" s="411"/>
      <c r="AU164" s="411"/>
      <c r="AV164" s="848"/>
      <c r="AW164" s="849"/>
      <c r="AX164" s="849"/>
    </row>
    <row r="165" spans="1:50" ht="12.75" x14ac:dyDescent="0.2">
      <c r="A165" s="892" t="s">
        <v>443</v>
      </c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463"/>
      <c r="V165" s="463"/>
      <c r="W165" s="463"/>
      <c r="X165" s="161"/>
      <c r="Y165" s="463"/>
      <c r="Z165" s="463"/>
      <c r="AA165" s="463"/>
      <c r="AB165" s="463"/>
      <c r="AC165" s="463"/>
      <c r="AD165" s="463"/>
      <c r="AE165" s="463"/>
      <c r="AF165" s="893"/>
      <c r="AG165" s="893"/>
      <c r="AH165" s="893"/>
      <c r="AI165" s="893"/>
      <c r="AJ165" s="893"/>
      <c r="AK165" s="893"/>
      <c r="AL165" s="893">
        <f>W13/2</f>
        <v>2161979.5</v>
      </c>
      <c r="AM165" s="894">
        <f>W13</f>
        <v>4323959</v>
      </c>
      <c r="AN165" s="894">
        <f>AM165</f>
        <v>4323959</v>
      </c>
      <c r="AO165" s="894">
        <f t="shared" si="67"/>
        <v>4323959</v>
      </c>
      <c r="AP165" s="894">
        <f t="shared" si="68"/>
        <v>4323959</v>
      </c>
      <c r="AQ165" s="894">
        <f t="shared" si="69"/>
        <v>4323959</v>
      </c>
      <c r="AR165" s="894">
        <f t="shared" si="70"/>
        <v>4323959</v>
      </c>
      <c r="AS165" s="895">
        <f t="shared" si="71"/>
        <v>28105733.5</v>
      </c>
      <c r="AT165" s="411"/>
      <c r="AU165" s="411"/>
      <c r="AV165" s="848"/>
      <c r="AW165" s="849"/>
      <c r="AX165" s="849"/>
    </row>
    <row r="166" spans="1:50" ht="12.75" x14ac:dyDescent="0.2">
      <c r="A166" s="892" t="s">
        <v>444</v>
      </c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463"/>
      <c r="V166" s="463"/>
      <c r="W166" s="463"/>
      <c r="X166" s="161"/>
      <c r="Y166" s="463"/>
      <c r="Z166" s="463"/>
      <c r="AA166" s="463"/>
      <c r="AB166" s="463"/>
      <c r="AC166" s="463"/>
      <c r="AD166" s="463"/>
      <c r="AE166" s="463"/>
      <c r="AF166" s="893"/>
      <c r="AG166" s="893"/>
      <c r="AH166" s="893"/>
      <c r="AI166" s="893"/>
      <c r="AJ166" s="893"/>
      <c r="AK166" s="893"/>
      <c r="AL166" s="893"/>
      <c r="AM166" s="894">
        <f>X13/2</f>
        <v>2926711</v>
      </c>
      <c r="AN166" s="894">
        <f>X13</f>
        <v>5853422</v>
      </c>
      <c r="AO166" s="894">
        <f t="shared" si="67"/>
        <v>5853422</v>
      </c>
      <c r="AP166" s="894">
        <f t="shared" si="68"/>
        <v>5853422</v>
      </c>
      <c r="AQ166" s="894">
        <f t="shared" si="69"/>
        <v>5853422</v>
      </c>
      <c r="AR166" s="894">
        <f t="shared" si="70"/>
        <v>5853422</v>
      </c>
      <c r="AS166" s="895">
        <f t="shared" si="71"/>
        <v>32193821</v>
      </c>
      <c r="AT166" s="411"/>
      <c r="AU166" s="411"/>
      <c r="AV166" s="848"/>
      <c r="AW166" s="849"/>
      <c r="AX166" s="849"/>
    </row>
    <row r="167" spans="1:50" ht="12.75" x14ac:dyDescent="0.2">
      <c r="A167" s="892" t="s">
        <v>445</v>
      </c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463"/>
      <c r="V167" s="463"/>
      <c r="W167" s="463"/>
      <c r="X167" s="161"/>
      <c r="Y167" s="463"/>
      <c r="Z167" s="463"/>
      <c r="AA167" s="463"/>
      <c r="AB167" s="463"/>
      <c r="AC167" s="463"/>
      <c r="AD167" s="463"/>
      <c r="AE167" s="463"/>
      <c r="AF167" s="893"/>
      <c r="AG167" s="893"/>
      <c r="AH167" s="894"/>
      <c r="AI167" s="894"/>
      <c r="AJ167" s="894"/>
      <c r="AK167" s="894"/>
      <c r="AL167" s="894"/>
      <c r="AM167" s="894"/>
      <c r="AN167" s="894">
        <f>Y13/2</f>
        <v>4339973</v>
      </c>
      <c r="AO167" s="894">
        <f>Y13</f>
        <v>8679946</v>
      </c>
      <c r="AP167" s="894">
        <f t="shared" si="68"/>
        <v>8679946</v>
      </c>
      <c r="AQ167" s="894">
        <f t="shared" si="69"/>
        <v>8679946</v>
      </c>
      <c r="AR167" s="894">
        <f t="shared" si="70"/>
        <v>8679946</v>
      </c>
      <c r="AS167" s="895">
        <f t="shared" si="71"/>
        <v>39059757</v>
      </c>
      <c r="AT167" s="411"/>
      <c r="AU167" s="411"/>
      <c r="AV167" s="848"/>
      <c r="AW167" s="849"/>
      <c r="AX167" s="849"/>
    </row>
    <row r="168" spans="1:50" ht="12.75" x14ac:dyDescent="0.2">
      <c r="A168" s="892" t="s">
        <v>446</v>
      </c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463"/>
      <c r="V168" s="463"/>
      <c r="W168" s="463"/>
      <c r="X168" s="161"/>
      <c r="Y168" s="463"/>
      <c r="Z168" s="463"/>
      <c r="AA168" s="463"/>
      <c r="AB168" s="463"/>
      <c r="AC168" s="463"/>
      <c r="AD168" s="463"/>
      <c r="AE168" s="463"/>
      <c r="AF168" s="893"/>
      <c r="AG168" s="893"/>
      <c r="AH168" s="894"/>
      <c r="AI168" s="894"/>
      <c r="AJ168" s="894"/>
      <c r="AK168" s="894"/>
      <c r="AL168" s="894"/>
      <c r="AM168" s="894"/>
      <c r="AN168" s="894"/>
      <c r="AO168" s="894">
        <f>Z13/2</f>
        <v>5074932.1434036363</v>
      </c>
      <c r="AP168" s="894">
        <f>Z13</f>
        <v>10149864.286807273</v>
      </c>
      <c r="AQ168" s="894">
        <f t="shared" si="69"/>
        <v>10149864.286807273</v>
      </c>
      <c r="AR168" s="894">
        <f t="shared" si="70"/>
        <v>10149864.286807273</v>
      </c>
      <c r="AS168" s="895">
        <f t="shared" si="71"/>
        <v>35524525.003825456</v>
      </c>
      <c r="AT168" s="411"/>
      <c r="AU168" s="411"/>
      <c r="AV168" s="848"/>
      <c r="AW168" s="849"/>
      <c r="AX168" s="849"/>
    </row>
    <row r="169" spans="1:50" ht="12.75" x14ac:dyDescent="0.2">
      <c r="A169" s="892" t="s">
        <v>447</v>
      </c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463"/>
      <c r="V169" s="463"/>
      <c r="W169" s="463"/>
      <c r="X169" s="161"/>
      <c r="Y169" s="463"/>
      <c r="Z169" s="463"/>
      <c r="AA169" s="463"/>
      <c r="AB169" s="463"/>
      <c r="AC169" s="463"/>
      <c r="AD169" s="463"/>
      <c r="AE169" s="463"/>
      <c r="AF169" s="893"/>
      <c r="AG169" s="893"/>
      <c r="AH169" s="894"/>
      <c r="AI169" s="894"/>
      <c r="AJ169" s="894"/>
      <c r="AK169" s="894"/>
      <c r="AL169" s="894"/>
      <c r="AM169" s="894"/>
      <c r="AN169" s="894"/>
      <c r="AO169" s="894"/>
      <c r="AP169" s="894">
        <f>AA13/2</f>
        <v>5233052.068088037</v>
      </c>
      <c r="AQ169" s="894">
        <f>AA13</f>
        <v>10466104.136176074</v>
      </c>
      <c r="AR169" s="894">
        <f t="shared" si="70"/>
        <v>10466104.136176074</v>
      </c>
      <c r="AS169" s="895">
        <f t="shared" si="71"/>
        <v>26165260.340440184</v>
      </c>
      <c r="AT169" s="411"/>
      <c r="AU169" s="411"/>
      <c r="AV169" s="848"/>
      <c r="AW169" s="849"/>
      <c r="AX169" s="849"/>
    </row>
    <row r="170" spans="1:50" ht="12.75" x14ac:dyDescent="0.2">
      <c r="A170" s="892" t="s">
        <v>448</v>
      </c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463"/>
      <c r="V170" s="463"/>
      <c r="W170" s="463"/>
      <c r="X170" s="161"/>
      <c r="Y170" s="463"/>
      <c r="Z170" s="463"/>
      <c r="AA170" s="463"/>
      <c r="AB170" s="463"/>
      <c r="AC170" s="463"/>
      <c r="AD170" s="463"/>
      <c r="AE170" s="463"/>
      <c r="AF170" s="893"/>
      <c r="AG170" s="893"/>
      <c r="AH170" s="894"/>
      <c r="AI170" s="894"/>
      <c r="AJ170" s="894"/>
      <c r="AK170" s="894"/>
      <c r="AL170" s="894"/>
      <c r="AM170" s="894"/>
      <c r="AN170" s="894"/>
      <c r="AO170" s="894"/>
      <c r="AP170" s="894"/>
      <c r="AQ170" s="894">
        <f>AB13/2</f>
        <v>8031141.0739987427</v>
      </c>
      <c r="AR170" s="894">
        <f>AB13</f>
        <v>16062282.147997485</v>
      </c>
      <c r="AS170" s="895">
        <f t="shared" si="71"/>
        <v>24093423.221996229</v>
      </c>
      <c r="AT170" s="411"/>
      <c r="AU170" s="411"/>
      <c r="AV170" s="848"/>
      <c r="AW170" s="849"/>
      <c r="AX170" s="849"/>
    </row>
    <row r="171" spans="1:50" s="904" customFormat="1" ht="13.5" thickBot="1" x14ac:dyDescent="0.25">
      <c r="A171" s="896" t="s">
        <v>449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897"/>
      <c r="V171" s="897"/>
      <c r="W171" s="897"/>
      <c r="X171" s="169"/>
      <c r="Y171" s="897"/>
      <c r="Z171" s="897"/>
      <c r="AA171" s="897"/>
      <c r="AB171" s="897"/>
      <c r="AC171" s="897"/>
      <c r="AD171" s="897"/>
      <c r="AE171" s="897"/>
      <c r="AF171" s="898"/>
      <c r="AG171" s="898"/>
      <c r="AH171" s="899"/>
      <c r="AI171" s="899"/>
      <c r="AJ171" s="899"/>
      <c r="AK171" s="899"/>
      <c r="AL171" s="899"/>
      <c r="AM171" s="899"/>
      <c r="AN171" s="899"/>
      <c r="AO171" s="899"/>
      <c r="AP171" s="899"/>
      <c r="AQ171" s="899"/>
      <c r="AR171" s="899">
        <f>AC13/2</f>
        <v>10169137.876138469</v>
      </c>
      <c r="AS171" s="900">
        <f t="shared" si="71"/>
        <v>10169137.876138469</v>
      </c>
      <c r="AT171" s="901"/>
      <c r="AU171" s="901"/>
      <c r="AV171" s="902"/>
      <c r="AW171" s="903"/>
      <c r="AX171" s="903"/>
    </row>
    <row r="172" spans="1:50" ht="12.75" x14ac:dyDescent="0.2">
      <c r="A172" s="905" t="s">
        <v>450</v>
      </c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463"/>
      <c r="V172" s="463"/>
      <c r="W172" s="463"/>
      <c r="X172" s="161"/>
      <c r="Y172" s="463"/>
      <c r="Z172" s="463"/>
      <c r="AA172" s="463"/>
      <c r="AB172" s="463"/>
      <c r="AC172" s="463"/>
      <c r="AD172" s="463"/>
      <c r="AE172" s="463"/>
      <c r="AF172" s="893"/>
      <c r="AG172" s="893"/>
      <c r="AH172" s="894"/>
      <c r="AI172" s="894"/>
      <c r="AJ172" s="894"/>
      <c r="AK172" s="894"/>
      <c r="AL172" s="894"/>
      <c r="AM172" s="894"/>
      <c r="AN172" s="894"/>
      <c r="AO172" s="894"/>
      <c r="AP172" s="894">
        <f>AB16/2</f>
        <v>158635.82507539855</v>
      </c>
      <c r="AQ172" s="894">
        <f>AB16</f>
        <v>317271.6501507971</v>
      </c>
      <c r="AR172" s="894">
        <f>AQ172</f>
        <v>317271.6501507971</v>
      </c>
      <c r="AS172" s="906">
        <f t="shared" si="71"/>
        <v>793179.12537699274</v>
      </c>
      <c r="AT172" s="411"/>
      <c r="AU172" s="411"/>
      <c r="AV172" s="848"/>
      <c r="AW172" s="849"/>
      <c r="AX172" s="849"/>
    </row>
    <row r="173" spans="1:50" ht="12.75" x14ac:dyDescent="0.2">
      <c r="A173" s="892" t="s">
        <v>451</v>
      </c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463"/>
      <c r="V173" s="463"/>
      <c r="W173" s="463"/>
      <c r="X173" s="161"/>
      <c r="Y173" s="463"/>
      <c r="Z173" s="463"/>
      <c r="AA173" s="463"/>
      <c r="AB173" s="463"/>
      <c r="AC173" s="463"/>
      <c r="AD173" s="463"/>
      <c r="AE173" s="463"/>
      <c r="AF173" s="893"/>
      <c r="AG173" s="893"/>
      <c r="AH173" s="894"/>
      <c r="AI173" s="894"/>
      <c r="AJ173" s="894"/>
      <c r="AK173" s="894"/>
      <c r="AL173" s="894"/>
      <c r="AM173" s="894"/>
      <c r="AN173" s="894"/>
      <c r="AO173" s="894"/>
      <c r="AP173" s="894"/>
      <c r="AQ173" s="894">
        <f>AC16/2</f>
        <v>1709376.6864543983</v>
      </c>
      <c r="AR173" s="894">
        <f>AC16</f>
        <v>3418753.3729087966</v>
      </c>
      <c r="AS173" s="906">
        <f t="shared" si="71"/>
        <v>5128130.0593631947</v>
      </c>
      <c r="AT173" s="411"/>
      <c r="AU173" s="411"/>
      <c r="AV173" s="848"/>
      <c r="AW173" s="849"/>
      <c r="AX173" s="849"/>
    </row>
    <row r="174" spans="1:50" s="904" customFormat="1" ht="13.5" thickBot="1" x14ac:dyDescent="0.25">
      <c r="A174" s="896" t="s">
        <v>452</v>
      </c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897"/>
      <c r="V174" s="897"/>
      <c r="W174" s="897"/>
      <c r="X174" s="169"/>
      <c r="Y174" s="897"/>
      <c r="Z174" s="897"/>
      <c r="AA174" s="897"/>
      <c r="AB174" s="897"/>
      <c r="AC174" s="897"/>
      <c r="AD174" s="897"/>
      <c r="AE174" s="897"/>
      <c r="AF174" s="898"/>
      <c r="AG174" s="898"/>
      <c r="AH174" s="899"/>
      <c r="AI174" s="899"/>
      <c r="AJ174" s="899"/>
      <c r="AK174" s="899"/>
      <c r="AL174" s="899"/>
      <c r="AM174" s="899"/>
      <c r="AN174" s="899"/>
      <c r="AO174" s="899"/>
      <c r="AP174" s="899"/>
      <c r="AQ174" s="899"/>
      <c r="AR174" s="899">
        <f>AD16/2</f>
        <v>286757.87549725833</v>
      </c>
      <c r="AS174" s="900">
        <f t="shared" si="71"/>
        <v>286757.87549725833</v>
      </c>
      <c r="AT174" s="901"/>
      <c r="AU174" s="901"/>
      <c r="AV174" s="902"/>
      <c r="AW174" s="903"/>
      <c r="AX174" s="903"/>
    </row>
    <row r="175" spans="1:50" ht="12.75" x14ac:dyDescent="0.2">
      <c r="A175" s="905" t="s">
        <v>453</v>
      </c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463"/>
      <c r="V175" s="463"/>
      <c r="W175" s="463"/>
      <c r="X175" s="161"/>
      <c r="Y175" s="463"/>
      <c r="Z175" s="463"/>
      <c r="AA175" s="463"/>
      <c r="AB175" s="463"/>
      <c r="AC175" s="463"/>
      <c r="AD175" s="463"/>
      <c r="AE175" s="463"/>
      <c r="AF175" s="893"/>
      <c r="AG175" s="893"/>
      <c r="AH175" s="894"/>
      <c r="AI175" s="894"/>
      <c r="AJ175" s="894"/>
      <c r="AK175" s="894"/>
      <c r="AL175" s="894"/>
      <c r="AM175" s="894"/>
      <c r="AN175" s="894"/>
      <c r="AO175" s="894"/>
      <c r="AP175" s="894"/>
      <c r="AQ175" s="894">
        <f>AB15/2</f>
        <v>388414.82683523127</v>
      </c>
      <c r="AR175" s="894">
        <f>AB15</f>
        <v>776829.65367046255</v>
      </c>
      <c r="AS175" s="906">
        <f t="shared" si="71"/>
        <v>1165244.4805056937</v>
      </c>
      <c r="AT175" s="411"/>
      <c r="AU175" s="411"/>
      <c r="AV175" s="848"/>
      <c r="AW175" s="849"/>
      <c r="AX175" s="849"/>
    </row>
    <row r="176" spans="1:50" ht="12.75" x14ac:dyDescent="0.2">
      <c r="A176" s="892" t="s">
        <v>454</v>
      </c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463"/>
      <c r="V176" s="463"/>
      <c r="W176" s="463"/>
      <c r="X176" s="161"/>
      <c r="Y176" s="463"/>
      <c r="Z176" s="463"/>
      <c r="AA176" s="463"/>
      <c r="AB176" s="463"/>
      <c r="AC176" s="463"/>
      <c r="AD176" s="463"/>
      <c r="AE176" s="463"/>
      <c r="AF176" s="893"/>
      <c r="AG176" s="893"/>
      <c r="AH176" s="894"/>
      <c r="AI176" s="894"/>
      <c r="AJ176" s="894"/>
      <c r="AK176" s="894"/>
      <c r="AL176" s="894"/>
      <c r="AM176" s="894"/>
      <c r="AN176" s="894"/>
      <c r="AO176" s="894"/>
      <c r="AP176" s="894"/>
      <c r="AQ176" s="894"/>
      <c r="AR176" s="894">
        <f>AC15/2</f>
        <v>311369.08809768595</v>
      </c>
      <c r="AS176" s="906">
        <f t="shared" si="71"/>
        <v>311369.08809768595</v>
      </c>
      <c r="AT176" s="411"/>
      <c r="AU176" s="411"/>
      <c r="AV176" s="848"/>
      <c r="AW176" s="849"/>
      <c r="AX176" s="849"/>
    </row>
    <row r="177" spans="1:64" s="418" customFormat="1" ht="13.5" thickBot="1" x14ac:dyDescent="0.25">
      <c r="A177" s="907" t="s">
        <v>367</v>
      </c>
      <c r="B177" s="51">
        <f t="shared" ref="B177:AL177" si="72">SUM(B105:B166)</f>
        <v>0</v>
      </c>
      <c r="C177" s="51">
        <f t="shared" si="72"/>
        <v>0</v>
      </c>
      <c r="D177" s="51">
        <f t="shared" si="72"/>
        <v>0</v>
      </c>
      <c r="E177" s="51">
        <f t="shared" si="72"/>
        <v>0</v>
      </c>
      <c r="F177" s="51">
        <f t="shared" si="72"/>
        <v>0</v>
      </c>
      <c r="G177" s="51">
        <f t="shared" si="72"/>
        <v>0</v>
      </c>
      <c r="H177" s="51">
        <f t="shared" si="72"/>
        <v>0</v>
      </c>
      <c r="I177" s="51">
        <f t="shared" si="72"/>
        <v>0</v>
      </c>
      <c r="J177" s="51">
        <f t="shared" si="72"/>
        <v>0</v>
      </c>
      <c r="K177" s="51">
        <f t="shared" si="72"/>
        <v>0</v>
      </c>
      <c r="L177" s="51">
        <f t="shared" si="72"/>
        <v>0</v>
      </c>
      <c r="M177" s="51">
        <f t="shared" si="72"/>
        <v>0</v>
      </c>
      <c r="N177" s="51">
        <f t="shared" si="72"/>
        <v>0</v>
      </c>
      <c r="O177" s="51">
        <f t="shared" si="72"/>
        <v>0</v>
      </c>
      <c r="P177" s="51">
        <f t="shared" si="72"/>
        <v>0</v>
      </c>
      <c r="Q177" s="51">
        <f t="shared" si="72"/>
        <v>0</v>
      </c>
      <c r="R177" s="51">
        <f t="shared" si="72"/>
        <v>0</v>
      </c>
      <c r="S177" s="51">
        <f t="shared" si="72"/>
        <v>0</v>
      </c>
      <c r="T177" s="51">
        <f t="shared" si="72"/>
        <v>0</v>
      </c>
      <c r="U177" s="51">
        <f t="shared" si="72"/>
        <v>0</v>
      </c>
      <c r="V177" s="51">
        <f t="shared" si="72"/>
        <v>0</v>
      </c>
      <c r="W177" s="51">
        <f t="shared" si="72"/>
        <v>0</v>
      </c>
      <c r="X177" s="51">
        <f t="shared" si="72"/>
        <v>0</v>
      </c>
      <c r="Y177" s="51">
        <f t="shared" si="72"/>
        <v>1834862.3853211009</v>
      </c>
      <c r="Z177" s="51">
        <f t="shared" si="72"/>
        <v>13707501.349163519</v>
      </c>
      <c r="AA177" s="51">
        <f t="shared" si="72"/>
        <v>27253103.076092824</v>
      </c>
      <c r="AB177" s="51">
        <f t="shared" si="72"/>
        <v>33513221.80248246</v>
      </c>
      <c r="AC177" s="51">
        <f t="shared" si="72"/>
        <v>37792702.104695089</v>
      </c>
      <c r="AD177" s="51">
        <f t="shared" si="72"/>
        <v>50601278.467350245</v>
      </c>
      <c r="AE177" s="51">
        <f t="shared" si="72"/>
        <v>82676527.001888841</v>
      </c>
      <c r="AF177" s="51">
        <f t="shared" si="72"/>
        <v>126529531.70156504</v>
      </c>
      <c r="AG177" s="51">
        <f t="shared" si="72"/>
        <v>188828455.90501893</v>
      </c>
      <c r="AH177" s="208">
        <f t="shared" si="72"/>
        <v>277467878.08634645</v>
      </c>
      <c r="AI177" s="208">
        <f t="shared" si="72"/>
        <v>412540291.18564487</v>
      </c>
      <c r="AJ177" s="208">
        <f t="shared" si="72"/>
        <v>602174951.50350785</v>
      </c>
      <c r="AK177" s="208">
        <f t="shared" si="72"/>
        <v>894845164.00350785</v>
      </c>
      <c r="AL177" s="208">
        <f t="shared" si="72"/>
        <v>1150393909.0035081</v>
      </c>
      <c r="AM177" s="208">
        <f>SUM(AM105:AM171)</f>
        <v>1303357080.5035081</v>
      </c>
      <c r="AN177" s="208">
        <f t="shared" ref="AN177" si="73">SUM(AN105:AN171)</f>
        <v>1433091378.5035081</v>
      </c>
      <c r="AO177" s="208">
        <f>SUM(AO105:AO176)</f>
        <v>1523405181.2077606</v>
      </c>
      <c r="AP177" s="208">
        <f t="shared" ref="AP177:AR177" si="74">SUM(AP105:AP176)</f>
        <v>1613656569.9158499</v>
      </c>
      <c r="AQ177" s="208">
        <f t="shared" si="74"/>
        <v>1752529262.070955</v>
      </c>
      <c r="AR177" s="208">
        <f t="shared" si="74"/>
        <v>1900730699.2136977</v>
      </c>
      <c r="AS177" s="183">
        <f>SUM(AS105:AS176)</f>
        <v>13426929548.991373</v>
      </c>
      <c r="AT177" s="411"/>
      <c r="AU177" s="411"/>
      <c r="AV177" s="848"/>
    </row>
    <row r="178" spans="1:64" ht="14.25" thickTop="1" thickBot="1" x14ac:dyDescent="0.25">
      <c r="A178" s="908"/>
      <c r="B178" s="909"/>
      <c r="C178" s="909"/>
      <c r="D178" s="909"/>
      <c r="E178" s="909"/>
      <c r="F178" s="909"/>
      <c r="G178" s="909"/>
      <c r="H178" s="909"/>
      <c r="I178" s="909"/>
      <c r="J178" s="909"/>
      <c r="K178" s="909"/>
      <c r="L178" s="909"/>
      <c r="M178" s="909"/>
      <c r="N178" s="909"/>
      <c r="O178" s="909"/>
      <c r="P178" s="909"/>
      <c r="Q178" s="909"/>
      <c r="R178" s="909"/>
      <c r="S178" s="909"/>
      <c r="T178" s="910"/>
      <c r="U178" s="909"/>
      <c r="V178" s="909"/>
      <c r="W178" s="909"/>
      <c r="X178" s="909"/>
      <c r="Y178" s="909"/>
      <c r="Z178" s="909"/>
      <c r="AA178" s="909"/>
      <c r="AB178" s="911"/>
      <c r="AC178" s="911"/>
      <c r="AD178" s="911"/>
      <c r="AE178" s="911"/>
      <c r="AF178" s="911"/>
      <c r="AG178" s="911"/>
      <c r="AH178" s="912"/>
      <c r="AI178" s="912"/>
      <c r="AJ178" s="912"/>
      <c r="AK178" s="913"/>
      <c r="AL178" s="913"/>
      <c r="AM178" s="913"/>
      <c r="AN178" s="913"/>
      <c r="AO178" s="913"/>
      <c r="AP178" s="913"/>
      <c r="AQ178" s="913"/>
      <c r="AR178" s="913"/>
      <c r="AS178" s="110">
        <f>SUM(B177:AR177)</f>
        <v>13426929548.991373</v>
      </c>
      <c r="AT178" s="411"/>
      <c r="AU178" s="411"/>
      <c r="AV178" s="848"/>
    </row>
    <row r="179" spans="1:64" ht="13.9" customHeight="1" thickBot="1" x14ac:dyDescent="0.25">
      <c r="A179" s="831"/>
      <c r="AS179" s="134"/>
      <c r="AT179" s="411"/>
      <c r="AU179" s="411"/>
      <c r="AV179" s="848"/>
    </row>
    <row r="180" spans="1:64" s="919" customFormat="1" ht="13.5" thickTop="1" x14ac:dyDescent="0.2">
      <c r="A180" s="507"/>
      <c r="B180" s="914" t="s">
        <v>455</v>
      </c>
      <c r="C180" s="915"/>
      <c r="D180" s="915"/>
      <c r="E180" s="915"/>
      <c r="F180" s="915"/>
      <c r="G180" s="915"/>
      <c r="H180" s="915"/>
      <c r="I180" s="915"/>
      <c r="J180" s="915"/>
      <c r="K180" s="915"/>
      <c r="L180" s="915"/>
      <c r="M180" s="915"/>
      <c r="N180" s="915"/>
      <c r="O180" s="915"/>
      <c r="P180" s="915"/>
      <c r="Q180" s="915"/>
      <c r="R180" s="915"/>
      <c r="S180" s="915"/>
      <c r="T180" s="915"/>
      <c r="U180" s="915"/>
      <c r="V180" s="915"/>
      <c r="W180" s="915"/>
      <c r="X180" s="915"/>
      <c r="Y180" s="915"/>
      <c r="Z180" s="915"/>
      <c r="AA180" s="915"/>
      <c r="AB180" s="915"/>
      <c r="AC180" s="915"/>
      <c r="AD180" s="915"/>
      <c r="AE180" s="915"/>
      <c r="AF180" s="915"/>
      <c r="AG180" s="915"/>
      <c r="AH180" s="916"/>
      <c r="AI180" s="916"/>
      <c r="AJ180" s="916"/>
      <c r="AK180" s="917"/>
      <c r="AL180" s="917"/>
      <c r="AM180" s="917"/>
      <c r="AN180" s="917"/>
      <c r="AO180" s="917"/>
      <c r="AP180" s="917"/>
      <c r="AQ180" s="917"/>
      <c r="AR180" s="917"/>
      <c r="AS180" s="918"/>
      <c r="AT180" s="411"/>
      <c r="AU180" s="411"/>
      <c r="AV180" s="848"/>
      <c r="AY180" s="507"/>
      <c r="AZ180" s="507"/>
      <c r="BA180" s="507"/>
      <c r="BB180" s="507"/>
      <c r="BC180" s="507"/>
      <c r="BD180" s="507"/>
      <c r="BE180" s="507"/>
      <c r="BF180" s="507"/>
      <c r="BG180" s="507"/>
      <c r="BH180" s="507"/>
      <c r="BI180" s="507"/>
      <c r="BJ180" s="507"/>
      <c r="BK180" s="507"/>
      <c r="BL180" s="507"/>
    </row>
    <row r="181" spans="1:64" s="924" customFormat="1" ht="12.75" x14ac:dyDescent="0.2">
      <c r="A181" s="507"/>
      <c r="B181" s="920">
        <v>1981</v>
      </c>
      <c r="C181" s="921">
        <v>1982</v>
      </c>
      <c r="D181" s="921">
        <v>1983</v>
      </c>
      <c r="E181" s="922">
        <v>1984</v>
      </c>
      <c r="F181" s="922">
        <v>1985</v>
      </c>
      <c r="G181" s="922">
        <v>1986</v>
      </c>
      <c r="H181" s="922">
        <v>1987</v>
      </c>
      <c r="I181" s="922">
        <v>1988</v>
      </c>
      <c r="J181" s="922">
        <v>1989</v>
      </c>
      <c r="K181" s="922" t="s">
        <v>35</v>
      </c>
      <c r="L181" s="922" t="s">
        <v>36</v>
      </c>
      <c r="M181" s="922">
        <v>1992</v>
      </c>
      <c r="N181" s="922">
        <v>1993</v>
      </c>
      <c r="O181" s="922">
        <v>1994</v>
      </c>
      <c r="P181" s="922">
        <v>1995</v>
      </c>
      <c r="Q181" s="922">
        <v>1996</v>
      </c>
      <c r="R181" s="922">
        <v>1997</v>
      </c>
      <c r="S181" s="922">
        <v>1998</v>
      </c>
      <c r="T181" s="922">
        <v>1999</v>
      </c>
      <c r="U181" s="922">
        <v>2000</v>
      </c>
      <c r="V181" s="922">
        <v>2001</v>
      </c>
      <c r="W181" s="922">
        <v>2002</v>
      </c>
      <c r="X181" s="922">
        <v>2003</v>
      </c>
      <c r="Y181" s="922">
        <v>2004</v>
      </c>
      <c r="Z181" s="922">
        <v>2005</v>
      </c>
      <c r="AA181" s="922" t="s">
        <v>116</v>
      </c>
      <c r="AB181" s="922" t="s">
        <v>373</v>
      </c>
      <c r="AC181" s="922" t="s">
        <v>374</v>
      </c>
      <c r="AD181" s="922" t="s">
        <v>375</v>
      </c>
      <c r="AE181" s="922" t="s">
        <v>376</v>
      </c>
      <c r="AF181" s="922" t="s">
        <v>377</v>
      </c>
      <c r="AG181" s="922" t="s">
        <v>378</v>
      </c>
      <c r="AH181" s="922">
        <v>2013</v>
      </c>
      <c r="AI181" s="922">
        <v>2014</v>
      </c>
      <c r="AJ181" s="922">
        <v>2015</v>
      </c>
      <c r="AK181" s="922">
        <v>2016</v>
      </c>
      <c r="AL181" s="922">
        <v>2017</v>
      </c>
      <c r="AM181" s="922">
        <v>2018</v>
      </c>
      <c r="AN181" s="922">
        <v>2019</v>
      </c>
      <c r="AO181" s="922">
        <v>2020</v>
      </c>
      <c r="AP181" s="922">
        <v>2021</v>
      </c>
      <c r="AQ181" s="922">
        <v>2022</v>
      </c>
      <c r="AR181" s="922">
        <v>2023</v>
      </c>
      <c r="AS181" s="162" t="s">
        <v>199</v>
      </c>
      <c r="AT181" s="411"/>
      <c r="AU181" s="411"/>
      <c r="AV181" s="848"/>
      <c r="AW181" s="923"/>
      <c r="AX181" s="919"/>
      <c r="AY181" s="507"/>
      <c r="AZ181" s="507"/>
      <c r="BA181" s="507"/>
      <c r="BB181" s="507"/>
      <c r="BC181" s="507"/>
      <c r="BD181" s="507"/>
      <c r="BE181" s="507"/>
      <c r="BF181" s="507"/>
      <c r="BG181" s="507"/>
      <c r="BH181" s="507"/>
      <c r="BI181" s="507"/>
      <c r="BJ181" s="507"/>
      <c r="BK181" s="507"/>
      <c r="BL181" s="507"/>
    </row>
    <row r="182" spans="1:64" s="928" customFormat="1" ht="12.75" x14ac:dyDescent="0.2">
      <c r="A182" s="141"/>
      <c r="B182" s="925">
        <f t="shared" ref="B182:AS182" si="75">+B68-B177</f>
        <v>0</v>
      </c>
      <c r="C182" s="926">
        <f t="shared" si="75"/>
        <v>0</v>
      </c>
      <c r="D182" s="926">
        <f t="shared" si="75"/>
        <v>0</v>
      </c>
      <c r="E182" s="926">
        <f t="shared" si="75"/>
        <v>1834862.3853211009</v>
      </c>
      <c r="F182" s="926">
        <f t="shared" si="75"/>
        <v>13707501.349163519</v>
      </c>
      <c r="G182" s="926">
        <f t="shared" si="75"/>
        <v>27253103.076092824</v>
      </c>
      <c r="H182" s="926">
        <f t="shared" si="75"/>
        <v>33513221.80248246</v>
      </c>
      <c r="I182" s="926">
        <f t="shared" si="75"/>
        <v>37776578.521316789</v>
      </c>
      <c r="J182" s="926">
        <f t="shared" si="75"/>
        <v>41446303.291958988</v>
      </c>
      <c r="K182" s="926">
        <f t="shared" si="75"/>
        <v>50566648.677819759</v>
      </c>
      <c r="L182" s="926">
        <f t="shared" si="75"/>
        <v>69951192.120885059</v>
      </c>
      <c r="M182" s="926">
        <f t="shared" si="75"/>
        <v>100145108.47274691</v>
      </c>
      <c r="N182" s="926">
        <f t="shared" si="75"/>
        <v>159195175.93092284</v>
      </c>
      <c r="O182" s="926">
        <f t="shared" si="75"/>
        <v>277917913.11386943</v>
      </c>
      <c r="P182" s="926">
        <f t="shared" si="75"/>
        <v>465614857.50350785</v>
      </c>
      <c r="Q182" s="926">
        <f t="shared" si="75"/>
        <v>757224842.00350785</v>
      </c>
      <c r="R182" s="926">
        <f t="shared" si="75"/>
        <v>1005802227.0035079</v>
      </c>
      <c r="S182" s="926">
        <f t="shared" si="75"/>
        <v>1125541842.0035079</v>
      </c>
      <c r="T182" s="926">
        <f t="shared" si="75"/>
        <v>1219455077.5035079</v>
      </c>
      <c r="U182" s="926">
        <f t="shared" si="75"/>
        <v>1295485676.5035079</v>
      </c>
      <c r="V182" s="926">
        <f t="shared" si="75"/>
        <v>1385759278.0035079</v>
      </c>
      <c r="W182" s="926">
        <f t="shared" si="75"/>
        <v>1488379384.5035079</v>
      </c>
      <c r="X182" s="926">
        <f t="shared" si="75"/>
        <v>1595076244.0035079</v>
      </c>
      <c r="Y182" s="926">
        <f t="shared" si="75"/>
        <v>1690439807.6181867</v>
      </c>
      <c r="Z182" s="926">
        <f t="shared" si="75"/>
        <v>1765980202.2980108</v>
      </c>
      <c r="AA182" s="926">
        <f t="shared" si="75"/>
        <v>1856258062.0491588</v>
      </c>
      <c r="AB182" s="926">
        <f t="shared" si="75"/>
        <v>1986089321.8677602</v>
      </c>
      <c r="AC182" s="926">
        <f t="shared" si="75"/>
        <v>2094363038.8210261</v>
      </c>
      <c r="AD182" s="926">
        <f t="shared" si="75"/>
        <v>2146742786.1712449</v>
      </c>
      <c r="AE182" s="926">
        <f t="shared" si="75"/>
        <v>2180864320.1222253</v>
      </c>
      <c r="AF182" s="926">
        <f t="shared" si="75"/>
        <v>2200813694.7514396</v>
      </c>
      <c r="AG182" s="926">
        <f t="shared" si="75"/>
        <v>2205910673.2556448</v>
      </c>
      <c r="AH182" s="926">
        <f t="shared" si="75"/>
        <v>2189961373.7327695</v>
      </c>
      <c r="AI182" s="926">
        <f t="shared" si="75"/>
        <v>2122106446.0185597</v>
      </c>
      <c r="AJ182" s="926">
        <f t="shared" si="75"/>
        <v>2027292808.6236446</v>
      </c>
      <c r="AK182" s="926">
        <f t="shared" si="75"/>
        <v>1819967667.5288074</v>
      </c>
      <c r="AL182" s="926">
        <f t="shared" si="75"/>
        <v>1608177682.2118807</v>
      </c>
      <c r="AM182" s="926">
        <f t="shared" si="75"/>
        <v>1510488667.9959288</v>
      </c>
      <c r="AN182" s="926">
        <f t="shared" si="75"/>
        <v>1428450248.720252</v>
      </c>
      <c r="AO182" s="926">
        <f t="shared" si="75"/>
        <v>1369412851.4338844</v>
      </c>
      <c r="AP182" s="926">
        <f t="shared" si="75"/>
        <v>1302972742.6646197</v>
      </c>
      <c r="AQ182" s="926">
        <f t="shared" si="75"/>
        <v>1181165978.2784455</v>
      </c>
      <c r="AR182" s="926">
        <f t="shared" si="75"/>
        <v>1066147532.8586237</v>
      </c>
      <c r="AS182" s="927">
        <f t="shared" si="75"/>
        <v>46905252944.796265</v>
      </c>
      <c r="AT182" s="411"/>
      <c r="AU182" s="41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</row>
    <row r="183" spans="1:64" s="919" customFormat="1" ht="12.75" x14ac:dyDescent="0.2">
      <c r="A183" s="507"/>
      <c r="B183" s="929"/>
      <c r="C183" s="930"/>
      <c r="D183" s="930"/>
      <c r="E183" s="930"/>
      <c r="F183" s="930"/>
      <c r="G183" s="930"/>
      <c r="H183" s="930"/>
      <c r="I183" s="930"/>
      <c r="J183" s="930"/>
      <c r="K183" s="930"/>
      <c r="L183" s="930"/>
      <c r="M183" s="930"/>
      <c r="N183" s="930"/>
      <c r="O183" s="930"/>
      <c r="P183" s="930"/>
      <c r="Q183" s="930"/>
      <c r="R183" s="930"/>
      <c r="S183" s="930"/>
      <c r="T183" s="930"/>
      <c r="U183" s="930"/>
      <c r="V183" s="930"/>
      <c r="W183" s="930"/>
      <c r="X183" s="930"/>
      <c r="Y183" s="930"/>
      <c r="Z183" s="930"/>
      <c r="AA183" s="930"/>
      <c r="AB183" s="930"/>
      <c r="AC183" s="930"/>
      <c r="AD183" s="930"/>
      <c r="AE183" s="930"/>
      <c r="AF183" s="930"/>
      <c r="AG183" s="930"/>
      <c r="AH183" s="930"/>
      <c r="AI183" s="930"/>
      <c r="AJ183" s="930"/>
      <c r="AK183" s="931"/>
      <c r="AL183" s="931"/>
      <c r="AM183" s="931"/>
      <c r="AN183" s="931"/>
      <c r="AO183" s="931"/>
      <c r="AP183" s="931"/>
      <c r="AQ183" s="931"/>
      <c r="AR183" s="931"/>
      <c r="AS183" s="927">
        <f>SUM(B182:AR182)</f>
        <v>46905252944.796265</v>
      </c>
      <c r="AT183" s="411"/>
      <c r="AU183" s="411"/>
      <c r="AY183" s="507"/>
      <c r="AZ183" s="507"/>
      <c r="BA183" s="507"/>
      <c r="BB183" s="507"/>
      <c r="BC183" s="507"/>
      <c r="BD183" s="507"/>
      <c r="BE183" s="507"/>
      <c r="BF183" s="507"/>
      <c r="BG183" s="507"/>
      <c r="BH183" s="507"/>
      <c r="BI183" s="507"/>
      <c r="BJ183" s="507"/>
      <c r="BK183" s="507"/>
      <c r="BL183" s="507"/>
    </row>
    <row r="184" spans="1:64" s="919" customFormat="1" ht="13.5" thickBot="1" x14ac:dyDescent="0.25">
      <c r="A184" s="507"/>
      <c r="B184" s="929"/>
      <c r="C184" s="930"/>
      <c r="D184" s="930"/>
      <c r="E184" s="930"/>
      <c r="F184" s="930"/>
      <c r="G184" s="930"/>
      <c r="H184" s="930"/>
      <c r="I184" s="930"/>
      <c r="J184" s="930"/>
      <c r="K184" s="930"/>
      <c r="L184" s="930"/>
      <c r="M184" s="930"/>
      <c r="N184" s="930"/>
      <c r="O184" s="930"/>
      <c r="P184" s="930"/>
      <c r="Q184" s="930"/>
      <c r="R184" s="930"/>
      <c r="S184" s="930"/>
      <c r="T184" s="930"/>
      <c r="U184" s="930"/>
      <c r="V184" s="930"/>
      <c r="W184" s="930"/>
      <c r="X184" s="930"/>
      <c r="Y184" s="930"/>
      <c r="Z184" s="930"/>
      <c r="AA184" s="930"/>
      <c r="AB184" s="930"/>
      <c r="AC184" s="930"/>
      <c r="AD184" s="930"/>
      <c r="AE184" s="930"/>
      <c r="AF184" s="930"/>
      <c r="AG184" s="930"/>
      <c r="AH184" s="932"/>
      <c r="AI184" s="932"/>
      <c r="AJ184" s="932"/>
      <c r="AK184" s="933"/>
      <c r="AL184" s="933"/>
      <c r="AM184" s="933"/>
      <c r="AN184" s="933"/>
      <c r="AO184" s="933"/>
      <c r="AP184" s="933"/>
      <c r="AQ184" s="933"/>
      <c r="AR184" s="933"/>
      <c r="AS184" s="934"/>
      <c r="AT184" s="411"/>
      <c r="AU184" s="411"/>
    </row>
    <row r="185" spans="1:64" s="919" customFormat="1" ht="14.25" thickTop="1" thickBot="1" x14ac:dyDescent="0.25">
      <c r="A185" s="507"/>
      <c r="B185" s="935"/>
      <c r="C185" s="936"/>
      <c r="D185" s="936"/>
      <c r="E185" s="936"/>
      <c r="F185" s="936"/>
      <c r="G185" s="936"/>
      <c r="H185" s="936"/>
      <c r="I185" s="936"/>
      <c r="J185" s="936"/>
      <c r="K185" s="936"/>
      <c r="L185" s="936"/>
      <c r="M185" s="936"/>
      <c r="N185" s="936"/>
      <c r="O185" s="936"/>
      <c r="P185" s="936"/>
      <c r="Q185" s="936"/>
      <c r="R185" s="936"/>
      <c r="S185" s="936"/>
      <c r="T185" s="936"/>
      <c r="U185" s="936"/>
      <c r="V185" s="936"/>
      <c r="W185" s="936"/>
      <c r="X185" s="936"/>
      <c r="Y185" s="936"/>
      <c r="Z185" s="936"/>
      <c r="AA185" s="936"/>
      <c r="AB185" s="936"/>
      <c r="AC185" s="936"/>
      <c r="AD185" s="936"/>
      <c r="AE185" s="936"/>
      <c r="AF185" s="937"/>
      <c r="AG185" s="937" t="s">
        <v>369</v>
      </c>
      <c r="AH185" s="938"/>
      <c r="AI185" s="802"/>
      <c r="AJ185" s="802"/>
      <c r="AK185" s="803"/>
      <c r="AL185" s="803"/>
      <c r="AM185" s="803"/>
      <c r="AN185" s="803"/>
      <c r="AO185" s="803"/>
      <c r="AP185" s="803"/>
      <c r="AQ185" s="803"/>
      <c r="AR185" s="803"/>
      <c r="AS185" s="939">
        <f>SUM(I182:AR182)</f>
        <v>46828944256.183205</v>
      </c>
      <c r="AT185" s="411"/>
      <c r="AU185" s="411"/>
      <c r="AV185" s="923"/>
      <c r="AW185" s="923"/>
      <c r="AX185" s="923"/>
      <c r="AY185" s="923"/>
    </row>
    <row r="186" spans="1:64" ht="13.5" thickTop="1" x14ac:dyDescent="0.2">
      <c r="A186" s="411"/>
      <c r="B186" s="411"/>
      <c r="C186" s="411"/>
      <c r="D186" s="411"/>
      <c r="E186" s="411"/>
      <c r="F186" s="411"/>
      <c r="G186" s="411"/>
      <c r="H186" s="411"/>
      <c r="I186" s="411"/>
      <c r="J186" s="411"/>
      <c r="K186" s="411"/>
      <c r="L186" s="411"/>
      <c r="M186" s="411"/>
      <c r="N186" s="411"/>
      <c r="O186" s="411"/>
      <c r="P186" s="411"/>
      <c r="Q186" s="411"/>
      <c r="R186" s="411"/>
      <c r="S186" s="411"/>
      <c r="T186" s="411"/>
      <c r="U186" s="411"/>
      <c r="V186" s="411"/>
      <c r="W186" s="411"/>
      <c r="X186" s="411"/>
      <c r="Y186" s="411"/>
      <c r="Z186" s="411"/>
      <c r="AA186" s="411"/>
      <c r="AB186" s="411"/>
      <c r="AC186" s="411"/>
      <c r="AD186" s="411"/>
      <c r="AE186" s="411"/>
      <c r="AF186" s="411"/>
      <c r="AG186" s="411"/>
      <c r="AH186" s="411"/>
      <c r="AI186" s="411"/>
      <c r="AJ186" s="411"/>
      <c r="AK186" s="411"/>
      <c r="AL186" s="411"/>
      <c r="AM186" s="411"/>
      <c r="AN186" s="411"/>
      <c r="AO186" s="411"/>
      <c r="AP186" s="411"/>
      <c r="AQ186" s="411"/>
      <c r="AR186" s="411"/>
      <c r="AS186" s="411"/>
      <c r="AT186" s="411"/>
      <c r="AU186" s="411"/>
      <c r="AV186" s="411"/>
      <c r="AW186" s="411"/>
      <c r="AX186" s="411"/>
      <c r="AY186" s="411"/>
    </row>
    <row r="187" spans="1:64" ht="12.75" x14ac:dyDescent="0.2">
      <c r="A187" s="411"/>
      <c r="B187" s="411"/>
      <c r="C187" s="411"/>
      <c r="D187" s="411"/>
      <c r="E187" s="411"/>
      <c r="F187" s="411"/>
      <c r="G187" s="411"/>
      <c r="H187" s="411"/>
      <c r="I187" s="411"/>
      <c r="J187" s="411"/>
      <c r="K187" s="411"/>
      <c r="L187" s="411"/>
      <c r="M187" s="411"/>
      <c r="N187" s="411"/>
      <c r="O187" s="411"/>
      <c r="P187" s="411"/>
      <c r="Q187" s="411"/>
      <c r="R187" s="411"/>
      <c r="S187" s="411"/>
      <c r="T187" s="411"/>
      <c r="U187" s="411"/>
      <c r="V187" s="411"/>
      <c r="W187" s="411"/>
      <c r="X187" s="411"/>
      <c r="Y187" s="411"/>
      <c r="Z187" s="411"/>
      <c r="AA187" s="411"/>
      <c r="AB187" s="411"/>
      <c r="AC187" s="411"/>
      <c r="AD187" s="411"/>
      <c r="AE187" s="411"/>
      <c r="AF187" s="411"/>
      <c r="AG187" s="411"/>
      <c r="AH187" s="507"/>
      <c r="AI187" s="507"/>
      <c r="AJ187" s="507"/>
      <c r="AK187" s="507"/>
      <c r="AL187" s="507"/>
      <c r="AM187" s="507"/>
      <c r="AN187" s="507"/>
      <c r="AO187" s="507"/>
      <c r="AP187" s="507"/>
      <c r="AQ187" s="507"/>
      <c r="AR187" s="507"/>
      <c r="AS187" s="429"/>
      <c r="AT187" s="411"/>
      <c r="AU187" s="411"/>
      <c r="AV187" s="411"/>
      <c r="AW187" s="411"/>
      <c r="AX187" s="411"/>
      <c r="AY187" s="411"/>
    </row>
    <row r="188" spans="1:64" ht="12.75" x14ac:dyDescent="0.2">
      <c r="A188" s="411"/>
      <c r="B188" s="411"/>
      <c r="C188" s="411"/>
      <c r="D188" s="411"/>
      <c r="E188" s="411"/>
      <c r="F188" s="411"/>
      <c r="G188" s="411"/>
      <c r="H188" s="411"/>
      <c r="I188" s="411"/>
      <c r="J188" s="411"/>
      <c r="K188" s="411"/>
      <c r="L188" s="411"/>
      <c r="M188" s="411"/>
      <c r="N188" s="411"/>
      <c r="O188" s="411"/>
      <c r="P188" s="411"/>
      <c r="Q188" s="411"/>
      <c r="R188" s="411"/>
      <c r="S188" s="411"/>
      <c r="T188" s="411"/>
      <c r="U188" s="411"/>
      <c r="V188" s="411"/>
      <c r="W188" s="411"/>
      <c r="X188" s="411"/>
      <c r="Y188" s="411"/>
      <c r="Z188" s="411"/>
      <c r="AA188" s="411"/>
      <c r="AB188" s="411"/>
      <c r="AC188" s="411"/>
      <c r="AD188" s="411"/>
      <c r="AE188" s="411"/>
      <c r="AF188" s="411"/>
      <c r="AG188" s="411"/>
      <c r="AH188" s="507"/>
      <c r="AI188" s="507"/>
      <c r="AJ188" s="507"/>
      <c r="AK188" s="507"/>
      <c r="AL188" s="507"/>
      <c r="AM188" s="507"/>
      <c r="AN188" s="507"/>
      <c r="AO188" s="507"/>
      <c r="AP188" s="507"/>
      <c r="AQ188" s="507"/>
      <c r="AR188" s="507"/>
      <c r="AS188" s="428"/>
      <c r="AT188" s="411"/>
      <c r="AU188" s="411"/>
      <c r="AV188" s="411"/>
      <c r="AW188" s="411"/>
      <c r="AX188" s="411"/>
      <c r="AY188" s="411"/>
    </row>
    <row r="189" spans="1:64" ht="12.75" x14ac:dyDescent="0.2">
      <c r="A189" s="411"/>
      <c r="B189" s="411"/>
      <c r="C189" s="411"/>
      <c r="D189" s="411"/>
      <c r="E189" s="411"/>
      <c r="F189" s="411"/>
      <c r="G189" s="411"/>
      <c r="H189" s="411"/>
      <c r="I189" s="411"/>
      <c r="J189" s="411"/>
      <c r="K189" s="411"/>
      <c r="L189" s="411"/>
      <c r="M189" s="411"/>
      <c r="N189" s="411"/>
      <c r="O189" s="411"/>
      <c r="P189" s="411"/>
      <c r="Q189" s="411"/>
      <c r="R189" s="411"/>
      <c r="S189" s="411"/>
      <c r="T189" s="411"/>
      <c r="U189" s="411"/>
      <c r="V189" s="411"/>
      <c r="W189" s="411"/>
      <c r="X189" s="411"/>
      <c r="Y189" s="411"/>
      <c r="Z189" s="411"/>
      <c r="AA189" s="411"/>
      <c r="AB189" s="411"/>
      <c r="AC189" s="411"/>
      <c r="AD189" s="411"/>
      <c r="AE189" s="411"/>
      <c r="AF189" s="411"/>
      <c r="AG189" s="411"/>
      <c r="AH189" s="507"/>
      <c r="AI189" s="507"/>
      <c r="AJ189" s="507"/>
      <c r="AK189" s="507"/>
      <c r="AL189" s="507"/>
      <c r="AM189" s="507"/>
      <c r="AN189" s="507"/>
      <c r="AO189" s="507"/>
      <c r="AP189" s="507"/>
      <c r="AQ189" s="507"/>
      <c r="AR189" s="507"/>
      <c r="AS189" s="429"/>
      <c r="AT189" s="411"/>
      <c r="AU189" s="411"/>
      <c r="AV189" s="411"/>
      <c r="AW189" s="411"/>
      <c r="AX189" s="411"/>
      <c r="AY189" s="411"/>
    </row>
    <row r="190" spans="1:64" ht="12.75" x14ac:dyDescent="0.2">
      <c r="A190" s="411"/>
      <c r="B190" s="411"/>
      <c r="C190" s="411"/>
      <c r="D190" s="411"/>
      <c r="E190" s="411"/>
      <c r="F190" s="411"/>
      <c r="G190" s="411"/>
      <c r="H190" s="411"/>
      <c r="I190" s="411"/>
      <c r="J190" s="411"/>
      <c r="K190" s="411"/>
      <c r="L190" s="411"/>
      <c r="M190" s="411"/>
      <c r="N190" s="411"/>
      <c r="O190" s="411"/>
      <c r="P190" s="411"/>
      <c r="Q190" s="411"/>
      <c r="R190" s="411"/>
      <c r="S190" s="411"/>
      <c r="T190" s="411"/>
      <c r="U190" s="411"/>
      <c r="V190" s="411"/>
      <c r="W190" s="411"/>
      <c r="X190" s="411"/>
      <c r="Y190" s="411"/>
      <c r="Z190" s="411"/>
      <c r="AA190" s="411"/>
      <c r="AB190" s="411"/>
      <c r="AC190" s="411"/>
      <c r="AD190" s="411"/>
      <c r="AE190" s="411"/>
      <c r="AF190" s="411"/>
      <c r="AG190" s="411"/>
      <c r="AH190" s="507"/>
      <c r="AI190" s="507"/>
      <c r="AJ190" s="507"/>
      <c r="AK190" s="507"/>
      <c r="AL190" s="507"/>
      <c r="AM190" s="507"/>
      <c r="AN190" s="507"/>
      <c r="AO190" s="507"/>
      <c r="AP190" s="507"/>
      <c r="AQ190" s="507"/>
      <c r="AR190" s="507"/>
      <c r="AS190" s="429"/>
      <c r="AT190" s="411"/>
      <c r="AU190" s="411"/>
      <c r="AV190" s="411"/>
      <c r="AW190" s="411"/>
      <c r="AX190" s="411"/>
      <c r="AY190" s="411"/>
    </row>
    <row r="191" spans="1:64" ht="12.75" x14ac:dyDescent="0.2">
      <c r="A191" s="411"/>
      <c r="B191" s="411"/>
      <c r="C191" s="411"/>
      <c r="D191" s="411"/>
      <c r="E191" s="411"/>
      <c r="F191" s="411"/>
      <c r="G191" s="411"/>
      <c r="H191" s="411"/>
      <c r="I191" s="411"/>
      <c r="J191" s="411"/>
      <c r="K191" s="411"/>
      <c r="L191" s="411"/>
      <c r="M191" s="411"/>
      <c r="N191" s="411"/>
      <c r="O191" s="411"/>
      <c r="P191" s="411"/>
      <c r="Q191" s="411"/>
      <c r="R191" s="411"/>
      <c r="S191" s="411"/>
      <c r="T191" s="411"/>
      <c r="U191" s="411"/>
      <c r="V191" s="411"/>
      <c r="W191" s="411"/>
      <c r="X191" s="411"/>
      <c r="Y191" s="411"/>
      <c r="Z191" s="411"/>
      <c r="AA191" s="411"/>
      <c r="AB191" s="411"/>
      <c r="AC191" s="411"/>
      <c r="AD191" s="411"/>
      <c r="AE191" s="411"/>
      <c r="AF191" s="411"/>
      <c r="AG191" s="411"/>
      <c r="AH191" s="507"/>
      <c r="AI191" s="507"/>
      <c r="AJ191" s="507"/>
      <c r="AK191" s="507"/>
      <c r="AL191" s="507"/>
      <c r="AM191" s="507"/>
      <c r="AN191" s="507"/>
      <c r="AO191" s="507"/>
      <c r="AP191" s="507"/>
      <c r="AQ191" s="507"/>
      <c r="AR191" s="507"/>
      <c r="AS191" s="429"/>
      <c r="AT191" s="411"/>
      <c r="AU191" s="411"/>
      <c r="AV191" s="411"/>
      <c r="AW191" s="411"/>
      <c r="AX191" s="411"/>
      <c r="AY191" s="411"/>
    </row>
    <row r="192" spans="1:64" ht="12.75" x14ac:dyDescent="0.2">
      <c r="A192" s="411"/>
      <c r="B192" s="411"/>
      <c r="C192" s="411"/>
      <c r="D192" s="411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1"/>
      <c r="S192" s="411"/>
      <c r="T192" s="411"/>
      <c r="U192" s="411"/>
      <c r="V192" s="411"/>
      <c r="W192" s="411"/>
      <c r="X192" s="411"/>
      <c r="Y192" s="411"/>
      <c r="Z192" s="411"/>
      <c r="AA192" s="411"/>
      <c r="AB192" s="411"/>
      <c r="AC192" s="411"/>
      <c r="AD192" s="411"/>
      <c r="AE192" s="411"/>
      <c r="AF192" s="411"/>
      <c r="AG192" s="411"/>
      <c r="AH192" s="507"/>
      <c r="AI192" s="507"/>
      <c r="AJ192" s="507"/>
      <c r="AK192" s="507"/>
      <c r="AL192" s="507"/>
      <c r="AM192" s="507"/>
      <c r="AN192" s="507"/>
      <c r="AO192" s="507"/>
      <c r="AP192" s="507"/>
      <c r="AQ192" s="507"/>
      <c r="AR192" s="507"/>
      <c r="AS192" s="429"/>
      <c r="AT192" s="411"/>
      <c r="AU192" s="411"/>
      <c r="AV192" s="411"/>
      <c r="AW192" s="411"/>
      <c r="AX192" s="411"/>
      <c r="AY192" s="411"/>
    </row>
    <row r="193" spans="1:51" ht="12.75" x14ac:dyDescent="0.2">
      <c r="A193" s="411"/>
      <c r="B193" s="411"/>
      <c r="C193" s="411"/>
      <c r="D193" s="411"/>
      <c r="E193" s="411"/>
      <c r="F193" s="411"/>
      <c r="G193" s="411"/>
      <c r="H193" s="411"/>
      <c r="I193" s="411"/>
      <c r="J193" s="411"/>
      <c r="K193" s="411"/>
      <c r="L193" s="411"/>
      <c r="M193" s="411"/>
      <c r="N193" s="411"/>
      <c r="O193" s="411"/>
      <c r="P193" s="411"/>
      <c r="Q193" s="411"/>
      <c r="R193" s="411"/>
      <c r="S193" s="411"/>
      <c r="T193" s="411"/>
      <c r="U193" s="411"/>
      <c r="V193" s="411"/>
      <c r="W193" s="411"/>
      <c r="X193" s="411"/>
      <c r="Y193" s="411"/>
      <c r="Z193" s="411"/>
      <c r="AA193" s="411"/>
      <c r="AB193" s="411"/>
      <c r="AC193" s="411"/>
      <c r="AD193" s="411"/>
      <c r="AE193" s="411"/>
      <c r="AF193" s="411"/>
      <c r="AG193" s="411"/>
      <c r="AH193" s="507"/>
      <c r="AI193" s="507"/>
      <c r="AJ193" s="507"/>
      <c r="AK193" s="507"/>
      <c r="AL193" s="507"/>
      <c r="AM193" s="507"/>
      <c r="AN193" s="507"/>
      <c r="AO193" s="507"/>
      <c r="AP193" s="507"/>
      <c r="AQ193" s="507"/>
      <c r="AR193" s="507"/>
      <c r="AS193" s="429"/>
      <c r="AT193" s="411"/>
      <c r="AU193" s="411"/>
      <c r="AV193" s="411"/>
      <c r="AW193" s="411"/>
      <c r="AX193" s="411"/>
      <c r="AY193" s="411"/>
    </row>
    <row r="194" spans="1:51" ht="12.75" x14ac:dyDescent="0.2">
      <c r="A194" s="411"/>
      <c r="B194" s="411"/>
      <c r="C194" s="411"/>
      <c r="D194" s="411"/>
      <c r="E194" s="411"/>
      <c r="F194" s="411"/>
      <c r="G194" s="411"/>
      <c r="H194" s="411"/>
      <c r="I194" s="411"/>
      <c r="J194" s="411"/>
      <c r="K194" s="411"/>
      <c r="L194" s="411"/>
      <c r="M194" s="411"/>
      <c r="N194" s="411"/>
      <c r="O194" s="411"/>
      <c r="P194" s="411"/>
      <c r="Q194" s="411"/>
      <c r="R194" s="411"/>
      <c r="S194" s="411"/>
      <c r="T194" s="411"/>
      <c r="U194" s="411"/>
      <c r="V194" s="411"/>
      <c r="W194" s="411"/>
      <c r="X194" s="411"/>
      <c r="Y194" s="411"/>
      <c r="Z194" s="411"/>
      <c r="AA194" s="411"/>
      <c r="AB194" s="411"/>
      <c r="AC194" s="411"/>
      <c r="AD194" s="411"/>
      <c r="AE194" s="411"/>
      <c r="AF194" s="411"/>
      <c r="AG194" s="411"/>
      <c r="AH194" s="507"/>
      <c r="AI194" s="507"/>
      <c r="AJ194" s="507"/>
      <c r="AK194" s="507"/>
      <c r="AL194" s="507"/>
      <c r="AM194" s="507"/>
      <c r="AN194" s="507"/>
      <c r="AO194" s="507"/>
      <c r="AP194" s="507"/>
      <c r="AQ194" s="507"/>
      <c r="AR194" s="507"/>
      <c r="AS194" s="429"/>
      <c r="AT194" s="411"/>
      <c r="AU194" s="411"/>
      <c r="AV194" s="411"/>
      <c r="AW194" s="411"/>
      <c r="AX194" s="411"/>
      <c r="AY194" s="411"/>
    </row>
    <row r="195" spans="1:51" ht="12.75" x14ac:dyDescent="0.2">
      <c r="A195" s="411"/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1"/>
      <c r="N195" s="411"/>
      <c r="O195" s="411"/>
      <c r="P195" s="411"/>
      <c r="Q195" s="411"/>
      <c r="R195" s="411"/>
      <c r="S195" s="411"/>
      <c r="T195" s="411"/>
      <c r="U195" s="411"/>
      <c r="V195" s="411"/>
      <c r="W195" s="411"/>
      <c r="X195" s="411"/>
      <c r="Y195" s="411"/>
      <c r="Z195" s="411"/>
      <c r="AA195" s="411"/>
      <c r="AB195" s="411"/>
      <c r="AC195" s="411"/>
      <c r="AD195" s="411"/>
      <c r="AE195" s="411"/>
      <c r="AF195" s="411"/>
      <c r="AG195" s="411"/>
      <c r="AH195" s="507"/>
      <c r="AI195" s="507"/>
      <c r="AJ195" s="507"/>
      <c r="AK195" s="507"/>
      <c r="AL195" s="507"/>
      <c r="AM195" s="507"/>
      <c r="AN195" s="507"/>
      <c r="AO195" s="507"/>
      <c r="AP195" s="507"/>
      <c r="AQ195" s="507"/>
      <c r="AR195" s="507"/>
      <c r="AS195" s="429"/>
      <c r="AT195" s="411"/>
      <c r="AU195" s="411"/>
      <c r="AV195" s="411"/>
      <c r="AW195" s="411"/>
      <c r="AX195" s="411"/>
      <c r="AY195" s="411"/>
    </row>
    <row r="196" spans="1:51" ht="12.75" x14ac:dyDescent="0.2">
      <c r="A196" s="411"/>
      <c r="B196" s="411"/>
      <c r="C196" s="411"/>
      <c r="D196" s="411"/>
      <c r="E196" s="411"/>
      <c r="F196" s="411"/>
      <c r="G196" s="411"/>
      <c r="H196" s="411"/>
      <c r="I196" s="411"/>
      <c r="J196" s="411"/>
      <c r="K196" s="411"/>
      <c r="L196" s="411"/>
      <c r="M196" s="411"/>
      <c r="N196" s="411"/>
      <c r="O196" s="411"/>
      <c r="P196" s="411"/>
      <c r="Q196" s="411"/>
      <c r="R196" s="411"/>
      <c r="S196" s="411"/>
      <c r="T196" s="411"/>
      <c r="U196" s="411"/>
      <c r="V196" s="411"/>
      <c r="W196" s="411"/>
      <c r="X196" s="411"/>
      <c r="Y196" s="411"/>
      <c r="Z196" s="411"/>
      <c r="AA196" s="411"/>
      <c r="AB196" s="411"/>
      <c r="AC196" s="411"/>
      <c r="AD196" s="411"/>
      <c r="AE196" s="411"/>
      <c r="AF196" s="411"/>
      <c r="AG196" s="411"/>
      <c r="AH196" s="507"/>
      <c r="AI196" s="507"/>
      <c r="AJ196" s="507"/>
      <c r="AK196" s="507"/>
      <c r="AL196" s="507"/>
      <c r="AM196" s="507"/>
      <c r="AN196" s="507"/>
      <c r="AO196" s="507"/>
      <c r="AP196" s="507"/>
      <c r="AQ196" s="507"/>
      <c r="AR196" s="507"/>
      <c r="AS196" s="429"/>
      <c r="AT196" s="411"/>
      <c r="AU196" s="411"/>
      <c r="AV196" s="411"/>
      <c r="AW196" s="411"/>
      <c r="AX196" s="411"/>
      <c r="AY196" s="411"/>
    </row>
    <row r="197" spans="1:51" ht="12.75" x14ac:dyDescent="0.2">
      <c r="A197" s="411"/>
      <c r="B197" s="411"/>
      <c r="C197" s="411"/>
      <c r="D197" s="411"/>
      <c r="E197" s="411"/>
      <c r="F197" s="411"/>
      <c r="G197" s="411"/>
      <c r="H197" s="411"/>
      <c r="I197" s="411"/>
      <c r="J197" s="411"/>
      <c r="K197" s="411"/>
      <c r="L197" s="411"/>
      <c r="M197" s="411"/>
      <c r="N197" s="411"/>
      <c r="O197" s="411"/>
      <c r="P197" s="411"/>
      <c r="Q197" s="411"/>
      <c r="R197" s="411"/>
      <c r="S197" s="411"/>
      <c r="T197" s="411"/>
      <c r="U197" s="411"/>
      <c r="V197" s="411"/>
      <c r="W197" s="411"/>
      <c r="X197" s="411"/>
      <c r="Y197" s="411"/>
      <c r="Z197" s="411"/>
      <c r="AA197" s="411"/>
      <c r="AB197" s="411"/>
      <c r="AC197" s="411"/>
      <c r="AD197" s="411"/>
      <c r="AE197" s="411"/>
      <c r="AF197" s="411"/>
      <c r="AG197" s="411"/>
      <c r="AH197" s="507"/>
      <c r="AI197" s="507"/>
      <c r="AJ197" s="507"/>
      <c r="AK197" s="507"/>
      <c r="AL197" s="507"/>
      <c r="AM197" s="507"/>
      <c r="AN197" s="507"/>
      <c r="AO197" s="507"/>
      <c r="AP197" s="507"/>
      <c r="AQ197" s="507"/>
      <c r="AR197" s="507"/>
      <c r="AS197" s="429"/>
      <c r="AT197" s="411"/>
      <c r="AU197" s="411"/>
      <c r="AV197" s="411"/>
      <c r="AW197" s="411"/>
      <c r="AX197" s="411"/>
      <c r="AY197" s="411"/>
    </row>
    <row r="198" spans="1:51" ht="12.75" x14ac:dyDescent="0.2">
      <c r="A198" s="411"/>
      <c r="B198" s="411"/>
      <c r="C198" s="411"/>
      <c r="D198" s="411"/>
      <c r="E198" s="411"/>
      <c r="F198" s="411"/>
      <c r="G198" s="411"/>
      <c r="H198" s="411"/>
      <c r="I198" s="411"/>
      <c r="J198" s="411"/>
      <c r="K198" s="411"/>
      <c r="L198" s="411"/>
      <c r="M198" s="411"/>
      <c r="N198" s="411"/>
      <c r="O198" s="411"/>
      <c r="P198" s="411"/>
      <c r="Q198" s="411"/>
      <c r="R198" s="411"/>
      <c r="S198" s="411"/>
      <c r="T198" s="411"/>
      <c r="U198" s="411"/>
      <c r="V198" s="411"/>
      <c r="W198" s="411"/>
      <c r="X198" s="411"/>
      <c r="Y198" s="411"/>
      <c r="Z198" s="411"/>
      <c r="AA198" s="411"/>
      <c r="AB198" s="411"/>
      <c r="AC198" s="411"/>
      <c r="AD198" s="411"/>
      <c r="AE198" s="411"/>
      <c r="AF198" s="411"/>
      <c r="AG198" s="411"/>
      <c r="AH198" s="507"/>
      <c r="AI198" s="507"/>
      <c r="AJ198" s="507"/>
      <c r="AK198" s="507"/>
      <c r="AL198" s="507"/>
      <c r="AM198" s="507"/>
      <c r="AN198" s="507"/>
      <c r="AO198" s="507"/>
      <c r="AP198" s="507"/>
      <c r="AQ198" s="507"/>
      <c r="AR198" s="507"/>
      <c r="AS198" s="429"/>
      <c r="AT198" s="411"/>
      <c r="AU198" s="411"/>
      <c r="AV198" s="411"/>
      <c r="AW198" s="411"/>
      <c r="AX198" s="411"/>
      <c r="AY198" s="411"/>
    </row>
  </sheetData>
  <phoneticPr fontId="59" type="noConversion"/>
  <printOptions horizontalCentered="1"/>
  <pageMargins left="0" right="0" top="0" bottom="0" header="0" footer="0"/>
  <pageSetup paperSize="17" scale="2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B43E-4A7C-454E-BFA5-5E2A210AC4ED}">
  <sheetPr>
    <pageSetUpPr fitToPage="1"/>
  </sheetPr>
  <dimension ref="A1:AP45"/>
  <sheetViews>
    <sheetView workbookViewId="0">
      <pane xSplit="2" ySplit="5" topLeftCell="L6" activePane="bottomRight" state="frozen"/>
      <selection activeCell="B1" sqref="B1:C2"/>
      <selection pane="topRight" activeCell="B1" sqref="B1:C2"/>
      <selection pane="bottomLeft" activeCell="B1" sqref="B1:C2"/>
      <selection pane="bottomRight" activeCell="B1" sqref="B1:C2"/>
    </sheetView>
  </sheetViews>
  <sheetFormatPr defaultColWidth="9.140625" defaultRowHeight="12.75" x14ac:dyDescent="0.2"/>
  <cols>
    <col min="1" max="1" width="20.42578125" style="411" customWidth="1"/>
    <col min="2" max="2" width="10" style="411" customWidth="1"/>
    <col min="3" max="5" width="6.85546875" style="411" bestFit="1" customWidth="1"/>
    <col min="6" max="8" width="7.7109375" style="411" bestFit="1" customWidth="1"/>
    <col min="9" max="22" width="6.85546875" style="411" bestFit="1" customWidth="1"/>
    <col min="23" max="23" width="7.7109375" style="411" bestFit="1" customWidth="1"/>
    <col min="24" max="24" width="6.85546875" style="997" bestFit="1" customWidth="1"/>
    <col min="25" max="26" width="7.7109375" style="997" bestFit="1" customWidth="1"/>
    <col min="27" max="27" width="9.140625" style="997" bestFit="1" customWidth="1"/>
    <col min="28" max="28" width="8.140625" style="997" bestFit="1" customWidth="1"/>
    <col min="29" max="29" width="8.140625" style="994" bestFit="1" customWidth="1"/>
    <col min="30" max="30" width="9" style="994" bestFit="1" customWidth="1"/>
    <col min="31" max="31" width="8.140625" style="997" bestFit="1" customWidth="1"/>
    <col min="32" max="34" width="9" style="997" bestFit="1" customWidth="1"/>
    <col min="35" max="35" width="9" style="651" bestFit="1" customWidth="1"/>
    <col min="36" max="37" width="7.7109375" style="651" customWidth="1"/>
    <col min="38" max="39" width="8" style="651" bestFit="1" customWidth="1"/>
    <col min="40" max="40" width="9" style="651" bestFit="1" customWidth="1"/>
    <col min="41" max="41" width="9" style="507" bestFit="1" customWidth="1"/>
    <col min="42" max="42" width="8.5703125" style="953" bestFit="1" customWidth="1"/>
    <col min="43" max="43" width="10.85546875" style="411" bestFit="1" customWidth="1"/>
    <col min="44" max="44" width="9.140625" style="411"/>
    <col min="45" max="45" width="16.85546875" style="411" bestFit="1" customWidth="1"/>
    <col min="46" max="46" width="9.140625" style="411"/>
    <col min="47" max="47" width="10" style="411" bestFit="1" customWidth="1"/>
    <col min="48" max="16384" width="9.140625" style="411"/>
  </cols>
  <sheetData>
    <row r="1" spans="1:42" x14ac:dyDescent="0.2">
      <c r="B1" s="1088" t="s">
        <v>523</v>
      </c>
      <c r="C1" s="1088"/>
    </row>
    <row r="2" spans="1:42" x14ac:dyDescent="0.2">
      <c r="B2" s="1088" t="s">
        <v>517</v>
      </c>
      <c r="C2" s="1088"/>
    </row>
    <row r="3" spans="1:42" ht="13.5" thickBot="1" x14ac:dyDescent="0.25">
      <c r="A3" s="940" t="s">
        <v>456</v>
      </c>
      <c r="C3" s="652"/>
      <c r="D3" s="652"/>
      <c r="W3" s="429"/>
      <c r="X3" s="429"/>
      <c r="Y3" s="429"/>
      <c r="Z3" s="429"/>
      <c r="AA3" s="429"/>
      <c r="AB3" s="657">
        <f t="shared" ref="AB3:AM3" si="0">+AB6+AB7+AB8+AB13+AB14+AB16+AB18</f>
        <v>250958</v>
      </c>
      <c r="AC3" s="657">
        <f t="shared" si="0"/>
        <v>259505</v>
      </c>
      <c r="AD3" s="657">
        <f t="shared" si="0"/>
        <v>262508</v>
      </c>
      <c r="AE3" s="657">
        <f t="shared" si="0"/>
        <v>273049</v>
      </c>
      <c r="AF3" s="657">
        <f t="shared" si="0"/>
        <v>295554</v>
      </c>
      <c r="AG3" s="657">
        <f t="shared" si="0"/>
        <v>266072</v>
      </c>
      <c r="AH3" s="657">
        <f t="shared" si="0"/>
        <v>266799</v>
      </c>
      <c r="AI3" s="657">
        <f t="shared" si="0"/>
        <v>335955</v>
      </c>
      <c r="AJ3" s="657">
        <f t="shared" si="0"/>
        <v>256192</v>
      </c>
      <c r="AK3" s="657">
        <f t="shared" si="0"/>
        <v>146828</v>
      </c>
      <c r="AL3" s="657">
        <f t="shared" si="0"/>
        <v>145897</v>
      </c>
      <c r="AM3" s="657">
        <f t="shared" si="0"/>
        <v>98721</v>
      </c>
      <c r="AN3" s="657">
        <f>SUM(AB3:AM3)</f>
        <v>2858038</v>
      </c>
      <c r="AO3" s="941"/>
      <c r="AP3" s="411"/>
    </row>
    <row r="4" spans="1:42" ht="13.5" thickTop="1" x14ac:dyDescent="0.2">
      <c r="A4" s="942"/>
      <c r="B4" s="944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4"/>
      <c r="S4" s="943"/>
      <c r="T4" s="943"/>
      <c r="U4" s="946"/>
      <c r="V4" s="947"/>
      <c r="W4" s="948"/>
      <c r="X4" s="948"/>
      <c r="Y4" s="948"/>
      <c r="Z4" s="948"/>
      <c r="AA4" s="949"/>
      <c r="AB4" s="950"/>
      <c r="AC4" s="948"/>
      <c r="AD4" s="948"/>
      <c r="AE4" s="948"/>
      <c r="AF4" s="948"/>
      <c r="AG4" s="948"/>
      <c r="AH4" s="951"/>
      <c r="AI4" s="952"/>
      <c r="AJ4" s="952"/>
      <c r="AK4" s="952"/>
      <c r="AL4" s="952"/>
      <c r="AM4" s="952"/>
      <c r="AN4" s="621"/>
      <c r="AO4" s="953"/>
      <c r="AP4" s="411"/>
    </row>
    <row r="5" spans="1:42" s="507" customFormat="1" ht="13.5" thickBot="1" x14ac:dyDescent="0.25">
      <c r="A5" s="808" t="s">
        <v>457</v>
      </c>
      <c r="B5" s="809">
        <v>1981</v>
      </c>
      <c r="C5" s="809">
        <v>1982</v>
      </c>
      <c r="D5" s="809">
        <v>1983</v>
      </c>
      <c r="E5" s="809">
        <v>1984</v>
      </c>
      <c r="F5" s="809">
        <v>1985</v>
      </c>
      <c r="G5" s="809">
        <v>1986</v>
      </c>
      <c r="H5" s="809">
        <v>1987</v>
      </c>
      <c r="I5" s="809">
        <v>1988</v>
      </c>
      <c r="J5" s="809">
        <v>1989</v>
      </c>
      <c r="K5" s="809" t="s">
        <v>35</v>
      </c>
      <c r="L5" s="809" t="s">
        <v>36</v>
      </c>
      <c r="M5" s="809">
        <v>1992</v>
      </c>
      <c r="N5" s="809">
        <v>1993</v>
      </c>
      <c r="O5" s="809">
        <v>1994</v>
      </c>
      <c r="P5" s="809">
        <v>1995</v>
      </c>
      <c r="Q5" s="809">
        <v>1996</v>
      </c>
      <c r="R5" s="809">
        <v>1997</v>
      </c>
      <c r="S5" s="954">
        <v>1998</v>
      </c>
      <c r="T5" s="954">
        <v>1999</v>
      </c>
      <c r="U5" s="809">
        <v>2000</v>
      </c>
      <c r="V5" s="809">
        <v>2001</v>
      </c>
      <c r="W5" s="809">
        <v>2002</v>
      </c>
      <c r="X5" s="809">
        <v>2003</v>
      </c>
      <c r="Y5" s="809">
        <v>2004</v>
      </c>
      <c r="Z5" s="809">
        <v>2005</v>
      </c>
      <c r="AA5" s="955" t="s">
        <v>116</v>
      </c>
      <c r="AB5" s="955" t="s">
        <v>373</v>
      </c>
      <c r="AC5" s="955" t="s">
        <v>374</v>
      </c>
      <c r="AD5" s="955" t="s">
        <v>375</v>
      </c>
      <c r="AE5" s="955" t="s">
        <v>376</v>
      </c>
      <c r="AF5" s="955" t="s">
        <v>377</v>
      </c>
      <c r="AG5" s="956">
        <v>2012</v>
      </c>
      <c r="AH5" s="956">
        <v>2013</v>
      </c>
      <c r="AI5" s="956">
        <v>2014</v>
      </c>
      <c r="AJ5" s="956">
        <v>2015</v>
      </c>
      <c r="AK5" s="956">
        <v>2016</v>
      </c>
      <c r="AL5" s="956">
        <v>2017</v>
      </c>
      <c r="AM5" s="956">
        <v>2018</v>
      </c>
      <c r="AN5" s="957" t="s">
        <v>458</v>
      </c>
      <c r="AO5" s="958"/>
    </row>
    <row r="6" spans="1:42" ht="24" customHeight="1" thickTop="1" x14ac:dyDescent="0.2">
      <c r="A6" s="959" t="s">
        <v>459</v>
      </c>
      <c r="B6" s="960">
        <v>48386</v>
      </c>
      <c r="C6" s="960">
        <f>27395+5848+89679-48386</f>
        <v>74536</v>
      </c>
      <c r="D6" s="961">
        <v>79603</v>
      </c>
      <c r="E6" s="961">
        <v>123798</v>
      </c>
      <c r="F6" s="961">
        <v>111230</v>
      </c>
      <c r="G6" s="961">
        <v>115747</v>
      </c>
      <c r="H6" s="961">
        <v>93788</v>
      </c>
      <c r="I6" s="961">
        <v>85886</v>
      </c>
      <c r="J6" s="961">
        <v>83831</v>
      </c>
      <c r="K6" s="961">
        <v>79773</v>
      </c>
      <c r="L6" s="961">
        <v>76184</v>
      </c>
      <c r="M6" s="170">
        <v>73596</v>
      </c>
      <c r="N6" s="170">
        <v>85224</v>
      </c>
      <c r="O6" s="170">
        <v>84554</v>
      </c>
      <c r="P6" s="170">
        <v>81047</v>
      </c>
      <c r="Q6" s="170">
        <v>68590</v>
      </c>
      <c r="R6" s="170">
        <v>56418</v>
      </c>
      <c r="S6" s="170">
        <v>43192</v>
      </c>
      <c r="T6" s="170">
        <v>35054</v>
      </c>
      <c r="U6" s="170">
        <v>42046</v>
      </c>
      <c r="V6" s="170">
        <v>123952</v>
      </c>
      <c r="W6" s="171">
        <v>96879</v>
      </c>
      <c r="X6" s="170">
        <v>109132</v>
      </c>
      <c r="Y6" s="170">
        <v>109781</v>
      </c>
      <c r="Z6" s="170">
        <v>116903</v>
      </c>
      <c r="AA6" s="172">
        <v>155398</v>
      </c>
      <c r="AB6" s="170">
        <v>165575</v>
      </c>
      <c r="AC6" s="170">
        <v>158580</v>
      </c>
      <c r="AD6" s="170">
        <v>172667</v>
      </c>
      <c r="AE6" s="170">
        <f>139827+10</f>
        <v>139837</v>
      </c>
      <c r="AF6" s="170">
        <v>159620</v>
      </c>
      <c r="AG6" s="170">
        <v>145069</v>
      </c>
      <c r="AH6" s="170">
        <v>147012</v>
      </c>
      <c r="AI6" s="170">
        <v>197794</v>
      </c>
      <c r="AJ6" s="170">
        <v>149405</v>
      </c>
      <c r="AK6" s="170">
        <v>112878</v>
      </c>
      <c r="AL6" s="170">
        <v>110680</v>
      </c>
      <c r="AM6" s="170">
        <v>66409</v>
      </c>
      <c r="AN6" s="173">
        <f>SUM(B6:AM6)</f>
        <v>3980054</v>
      </c>
      <c r="AO6" s="332"/>
      <c r="AP6" s="411"/>
    </row>
    <row r="7" spans="1:42" ht="24" customHeight="1" thickBot="1" x14ac:dyDescent="0.25">
      <c r="A7" s="962" t="s">
        <v>54</v>
      </c>
      <c r="B7" s="364"/>
      <c r="C7" s="364"/>
      <c r="D7" s="365"/>
      <c r="E7" s="365"/>
      <c r="F7" s="365"/>
      <c r="G7" s="365"/>
      <c r="H7" s="365"/>
      <c r="I7" s="365"/>
      <c r="J7" s="365"/>
      <c r="K7" s="365"/>
      <c r="L7" s="365"/>
      <c r="M7" s="174"/>
      <c r="N7" s="174"/>
      <c r="O7" s="174"/>
      <c r="P7" s="174"/>
      <c r="Q7" s="174"/>
      <c r="R7" s="174"/>
      <c r="S7" s="174">
        <v>258</v>
      </c>
      <c r="T7" s="84">
        <v>308</v>
      </c>
      <c r="U7" s="174">
        <v>708</v>
      </c>
      <c r="V7" s="174">
        <v>1204</v>
      </c>
      <c r="W7" s="175">
        <v>1303</v>
      </c>
      <c r="X7" s="174">
        <v>1668</v>
      </c>
      <c r="Y7" s="174">
        <v>2032</v>
      </c>
      <c r="Z7" s="174">
        <v>2630</v>
      </c>
      <c r="AA7" s="119">
        <v>4376</v>
      </c>
      <c r="AB7" s="176">
        <v>4084</v>
      </c>
      <c r="AC7" s="177">
        <v>2297</v>
      </c>
      <c r="AD7" s="176">
        <v>1647</v>
      </c>
      <c r="AE7" s="176">
        <v>2089</v>
      </c>
      <c r="AF7" s="176">
        <v>2317</v>
      </c>
      <c r="AG7" s="176">
        <v>2943</v>
      </c>
      <c r="AH7" s="176">
        <v>2600</v>
      </c>
      <c r="AI7" s="176">
        <v>3503</v>
      </c>
      <c r="AJ7" s="176">
        <v>2999</v>
      </c>
      <c r="AK7" s="176">
        <v>2399</v>
      </c>
      <c r="AL7" s="176">
        <v>2648</v>
      </c>
      <c r="AM7" s="176">
        <v>3514</v>
      </c>
      <c r="AN7" s="178">
        <f t="shared" ref="AN7:AN25" si="1">SUM(B7:AM7)</f>
        <v>47527</v>
      </c>
      <c r="AO7" s="332"/>
      <c r="AP7" s="411"/>
    </row>
    <row r="8" spans="1:42" s="507" customFormat="1" ht="24" customHeight="1" thickTop="1" x14ac:dyDescent="0.2">
      <c r="A8" s="963" t="s">
        <v>55</v>
      </c>
      <c r="B8" s="964">
        <f>SUM(B9:B11)</f>
        <v>215</v>
      </c>
      <c r="C8" s="964">
        <f t="shared" ref="C8:AM8" si="2">SUM(C9:C11)</f>
        <v>8715</v>
      </c>
      <c r="D8" s="964">
        <f t="shared" si="2"/>
        <v>11875</v>
      </c>
      <c r="E8" s="964">
        <f t="shared" si="2"/>
        <v>15428</v>
      </c>
      <c r="F8" s="964">
        <f t="shared" si="2"/>
        <v>20536</v>
      </c>
      <c r="G8" s="964">
        <f t="shared" si="2"/>
        <v>19794</v>
      </c>
      <c r="H8" s="964">
        <f t="shared" si="2"/>
        <v>18590</v>
      </c>
      <c r="I8" s="964">
        <f t="shared" si="2"/>
        <v>14340</v>
      </c>
      <c r="J8" s="964">
        <f t="shared" si="2"/>
        <v>11141</v>
      </c>
      <c r="K8" s="964">
        <f t="shared" si="2"/>
        <v>12412</v>
      </c>
      <c r="L8" s="964">
        <f t="shared" si="2"/>
        <v>13512</v>
      </c>
      <c r="M8" s="964">
        <f t="shared" si="2"/>
        <v>18497</v>
      </c>
      <c r="N8" s="964">
        <f t="shared" si="2"/>
        <v>21433</v>
      </c>
      <c r="O8" s="964">
        <f t="shared" si="2"/>
        <v>20494</v>
      </c>
      <c r="P8" s="964">
        <f t="shared" si="2"/>
        <v>17389</v>
      </c>
      <c r="Q8" s="964">
        <f t="shared" si="2"/>
        <v>30218</v>
      </c>
      <c r="R8" s="964">
        <f t="shared" si="2"/>
        <v>45864</v>
      </c>
      <c r="S8" s="964">
        <f t="shared" si="2"/>
        <v>32271</v>
      </c>
      <c r="T8" s="965">
        <f t="shared" si="2"/>
        <v>16572</v>
      </c>
      <c r="U8" s="965">
        <f t="shared" si="2"/>
        <v>13866</v>
      </c>
      <c r="V8" s="965">
        <f t="shared" si="2"/>
        <v>25014</v>
      </c>
      <c r="W8" s="965">
        <f t="shared" si="2"/>
        <v>25588</v>
      </c>
      <c r="X8" s="965">
        <f t="shared" si="2"/>
        <v>17891</v>
      </c>
      <c r="Y8" s="965">
        <f t="shared" si="2"/>
        <v>10982</v>
      </c>
      <c r="Z8" s="965">
        <f t="shared" si="2"/>
        <v>6149</v>
      </c>
      <c r="AA8" s="965">
        <f t="shared" si="2"/>
        <v>6112</v>
      </c>
      <c r="AB8" s="965">
        <f t="shared" si="2"/>
        <v>15769</v>
      </c>
      <c r="AC8" s="965">
        <f t="shared" si="2"/>
        <v>20807</v>
      </c>
      <c r="AD8" s="965">
        <f t="shared" si="2"/>
        <v>11103</v>
      </c>
      <c r="AE8" s="965">
        <f t="shared" si="2"/>
        <v>14041</v>
      </c>
      <c r="AF8" s="965">
        <f t="shared" si="2"/>
        <v>13675</v>
      </c>
      <c r="AG8" s="965">
        <f t="shared" si="2"/>
        <v>11639</v>
      </c>
      <c r="AH8" s="965">
        <f t="shared" si="2"/>
        <v>8420</v>
      </c>
      <c r="AI8" s="965">
        <f t="shared" si="2"/>
        <v>8752</v>
      </c>
      <c r="AJ8" s="965">
        <f t="shared" si="2"/>
        <v>9105</v>
      </c>
      <c r="AK8" s="965">
        <f t="shared" si="2"/>
        <v>3909</v>
      </c>
      <c r="AL8" s="965">
        <f t="shared" si="2"/>
        <v>3600</v>
      </c>
      <c r="AM8" s="965">
        <f t="shared" si="2"/>
        <v>3378</v>
      </c>
      <c r="AN8" s="966">
        <f t="shared" si="1"/>
        <v>579096</v>
      </c>
      <c r="AO8" s="967"/>
      <c r="AP8" s="968"/>
    </row>
    <row r="9" spans="1:42" ht="19.149999999999999" customHeight="1" x14ac:dyDescent="0.2">
      <c r="A9" s="969" t="s">
        <v>16</v>
      </c>
      <c r="B9" s="49">
        <v>215</v>
      </c>
      <c r="C9" s="49">
        <v>8715</v>
      </c>
      <c r="D9" s="49">
        <v>11875</v>
      </c>
      <c r="E9" s="49">
        <v>15428</v>
      </c>
      <c r="F9" s="49">
        <v>20536</v>
      </c>
      <c r="G9" s="49">
        <v>19794</v>
      </c>
      <c r="H9" s="49">
        <v>18590</v>
      </c>
      <c r="I9" s="49">
        <v>14340</v>
      </c>
      <c r="J9" s="49">
        <v>11141</v>
      </c>
      <c r="K9" s="49">
        <v>12412</v>
      </c>
      <c r="L9" s="49">
        <v>13512</v>
      </c>
      <c r="M9" s="50">
        <v>18497</v>
      </c>
      <c r="N9" s="50">
        <v>21433</v>
      </c>
      <c r="O9" s="50">
        <v>20494</v>
      </c>
      <c r="P9" s="50">
        <v>17389</v>
      </c>
      <c r="Q9" s="50">
        <v>30218</v>
      </c>
      <c r="R9" s="50">
        <v>45864</v>
      </c>
      <c r="S9" s="50">
        <v>32271</v>
      </c>
      <c r="T9" s="50">
        <v>16572</v>
      </c>
      <c r="U9" s="50">
        <v>13866</v>
      </c>
      <c r="V9" s="50">
        <v>25014</v>
      </c>
      <c r="W9" s="50">
        <v>25588</v>
      </c>
      <c r="X9" s="50">
        <v>17891</v>
      </c>
      <c r="Y9" s="50">
        <v>10982</v>
      </c>
      <c r="Z9" s="50">
        <v>6149</v>
      </c>
      <c r="AA9" s="50">
        <v>5774</v>
      </c>
      <c r="AB9" s="50">
        <v>12945</v>
      </c>
      <c r="AC9" s="50">
        <v>10901</v>
      </c>
      <c r="AD9" s="50">
        <v>9632</v>
      </c>
      <c r="AE9" s="50">
        <v>12604</v>
      </c>
      <c r="AF9" s="50">
        <v>9827</v>
      </c>
      <c r="AG9" s="50">
        <v>6681</v>
      </c>
      <c r="AH9" s="50">
        <v>5141</v>
      </c>
      <c r="AI9" s="50">
        <v>5821</v>
      </c>
      <c r="AJ9" s="50">
        <v>7054</v>
      </c>
      <c r="AK9" s="50">
        <v>3891</v>
      </c>
      <c r="AL9" s="50">
        <v>3600</v>
      </c>
      <c r="AM9" s="50">
        <v>3378</v>
      </c>
      <c r="AN9" s="966">
        <f t="shared" si="1"/>
        <v>546035</v>
      </c>
      <c r="AO9" s="332"/>
      <c r="AP9" s="411"/>
    </row>
    <row r="10" spans="1:42" ht="19.149999999999999" customHeight="1" x14ac:dyDescent="0.2">
      <c r="A10" s="970" t="s">
        <v>56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22"/>
      <c r="T10" s="122"/>
      <c r="U10" s="122"/>
      <c r="V10" s="122"/>
      <c r="W10" s="122"/>
      <c r="X10" s="122"/>
      <c r="Y10" s="122"/>
      <c r="Z10" s="122"/>
      <c r="AA10" s="122"/>
      <c r="AB10" s="122">
        <v>2630</v>
      </c>
      <c r="AC10" s="122">
        <v>9584</v>
      </c>
      <c r="AD10" s="122">
        <v>1096</v>
      </c>
      <c r="AE10" s="122">
        <v>781</v>
      </c>
      <c r="AF10" s="122">
        <v>3323</v>
      </c>
      <c r="AG10" s="122">
        <v>4415</v>
      </c>
      <c r="AH10" s="122">
        <v>2765</v>
      </c>
      <c r="AI10" s="122">
        <v>2274</v>
      </c>
      <c r="AJ10" s="122">
        <v>1315</v>
      </c>
      <c r="AK10" s="122">
        <v>18</v>
      </c>
      <c r="AL10" s="122"/>
      <c r="AM10" s="122"/>
      <c r="AN10" s="971">
        <f t="shared" si="1"/>
        <v>28201</v>
      </c>
      <c r="AO10" s="332"/>
      <c r="AP10" s="411"/>
    </row>
    <row r="11" spans="1:42" ht="19.149999999999999" customHeight="1" thickBot="1" x14ac:dyDescent="0.25">
      <c r="A11" s="972" t="s">
        <v>460</v>
      </c>
      <c r="B11" s="973"/>
      <c r="C11" s="973"/>
      <c r="D11" s="973"/>
      <c r="E11" s="973"/>
      <c r="F11" s="973"/>
      <c r="G11" s="973"/>
      <c r="H11" s="973"/>
      <c r="I11" s="973"/>
      <c r="J11" s="973"/>
      <c r="K11" s="973"/>
      <c r="L11" s="973"/>
      <c r="M11" s="973"/>
      <c r="N11" s="973"/>
      <c r="O11" s="973"/>
      <c r="P11" s="973"/>
      <c r="Q11" s="973"/>
      <c r="R11" s="973"/>
      <c r="S11" s="177"/>
      <c r="T11" s="177"/>
      <c r="U11" s="177"/>
      <c r="V11" s="177"/>
      <c r="W11" s="177"/>
      <c r="X11" s="177"/>
      <c r="Y11" s="177"/>
      <c r="Z11" s="177"/>
      <c r="AA11" s="177">
        <v>338</v>
      </c>
      <c r="AB11" s="177">
        <v>194</v>
      </c>
      <c r="AC11" s="177">
        <v>322</v>
      </c>
      <c r="AD11" s="177">
        <v>375</v>
      </c>
      <c r="AE11" s="177">
        <v>656</v>
      </c>
      <c r="AF11" s="177">
        <v>525</v>
      </c>
      <c r="AG11" s="177">
        <v>543</v>
      </c>
      <c r="AH11" s="177">
        <v>514</v>
      </c>
      <c r="AI11" s="177">
        <v>657</v>
      </c>
      <c r="AJ11" s="177">
        <v>736</v>
      </c>
      <c r="AK11" s="177">
        <v>0</v>
      </c>
      <c r="AL11" s="177"/>
      <c r="AM11" s="177"/>
      <c r="AN11" s="974">
        <f t="shared" si="1"/>
        <v>4860</v>
      </c>
      <c r="AO11" s="332"/>
      <c r="AP11" s="652"/>
    </row>
    <row r="12" spans="1:42" ht="24" customHeight="1" thickTop="1" x14ac:dyDescent="0.2">
      <c r="A12" s="962" t="s">
        <v>461</v>
      </c>
      <c r="B12" s="364">
        <v>128</v>
      </c>
      <c r="C12" s="364">
        <v>7452</v>
      </c>
      <c r="D12" s="365">
        <v>13783</v>
      </c>
      <c r="E12" s="365">
        <v>17030</v>
      </c>
      <c r="F12" s="365">
        <v>21419</v>
      </c>
      <c r="G12" s="365">
        <v>20263</v>
      </c>
      <c r="H12" s="365">
        <v>19315</v>
      </c>
      <c r="I12" s="365">
        <v>18308</v>
      </c>
      <c r="J12" s="365">
        <v>20435</v>
      </c>
      <c r="K12" s="365">
        <v>20649</v>
      </c>
      <c r="L12" s="365">
        <v>19357</v>
      </c>
      <c r="M12" s="174">
        <v>17170</v>
      </c>
      <c r="N12" s="174">
        <v>20614</v>
      </c>
      <c r="O12" s="174">
        <v>19871</v>
      </c>
      <c r="P12" s="174">
        <v>18509</v>
      </c>
      <c r="Q12" s="174">
        <v>13421</v>
      </c>
      <c r="R12" s="174">
        <v>9969</v>
      </c>
      <c r="S12" s="174"/>
      <c r="T12" s="174"/>
      <c r="U12" s="174"/>
      <c r="V12" s="174"/>
      <c r="W12" s="175"/>
      <c r="X12" s="174"/>
      <c r="Y12" s="174"/>
      <c r="Z12" s="174"/>
      <c r="AA12" s="121"/>
      <c r="AB12" s="121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82">
        <f t="shared" si="1"/>
        <v>277693</v>
      </c>
      <c r="AO12" s="953"/>
      <c r="AP12" s="411"/>
    </row>
    <row r="13" spans="1:42" ht="24" customHeight="1" x14ac:dyDescent="0.2">
      <c r="A13" s="975" t="s">
        <v>59</v>
      </c>
      <c r="B13" s="179"/>
      <c r="C13" s="179">
        <v>10169</v>
      </c>
      <c r="D13" s="49">
        <v>20018</v>
      </c>
      <c r="E13" s="49">
        <v>29213</v>
      </c>
      <c r="F13" s="49">
        <v>36308</v>
      </c>
      <c r="G13" s="49">
        <v>44456</v>
      </c>
      <c r="H13" s="49">
        <v>39429</v>
      </c>
      <c r="I13" s="49">
        <v>8353</v>
      </c>
      <c r="J13" s="49"/>
      <c r="K13" s="49"/>
      <c r="L13" s="49">
        <v>14609</v>
      </c>
      <c r="M13" s="49">
        <v>26326</v>
      </c>
      <c r="N13" s="49">
        <v>41370</v>
      </c>
      <c r="O13" s="49">
        <v>47153</v>
      </c>
      <c r="P13" s="49">
        <v>56680</v>
      </c>
      <c r="Q13" s="49">
        <v>74238</v>
      </c>
      <c r="R13" s="49">
        <v>81708</v>
      </c>
      <c r="S13" s="49">
        <v>81689</v>
      </c>
      <c r="T13" s="49">
        <v>69920</v>
      </c>
      <c r="U13" s="49">
        <v>72499</v>
      </c>
      <c r="V13" s="49">
        <v>60418</v>
      </c>
      <c r="W13" s="180">
        <v>65056</v>
      </c>
      <c r="X13" s="181">
        <v>49778</v>
      </c>
      <c r="Y13" s="181">
        <v>55322</v>
      </c>
      <c r="Z13" s="181">
        <v>54466</v>
      </c>
      <c r="AA13" s="182">
        <v>54812</v>
      </c>
      <c r="AB13" s="180">
        <v>33516</v>
      </c>
      <c r="AC13" s="181">
        <v>48332</v>
      </c>
      <c r="AD13" s="181">
        <v>63453</v>
      </c>
      <c r="AE13" s="181">
        <v>99897</v>
      </c>
      <c r="AF13" s="181">
        <v>113907</v>
      </c>
      <c r="AG13" s="181">
        <v>101156</v>
      </c>
      <c r="AH13" s="181">
        <v>105164</v>
      </c>
      <c r="AI13" s="181">
        <v>121349</v>
      </c>
      <c r="AJ13" s="181">
        <v>93108</v>
      </c>
      <c r="AK13" s="181">
        <v>26574</v>
      </c>
      <c r="AL13" s="181">
        <v>26594</v>
      </c>
      <c r="AM13" s="181">
        <v>23125</v>
      </c>
      <c r="AN13" s="83">
        <f t="shared" si="1"/>
        <v>1950165</v>
      </c>
      <c r="AO13" s="332"/>
      <c r="AP13" s="652"/>
    </row>
    <row r="14" spans="1:42" ht="24" customHeight="1" x14ac:dyDescent="0.2">
      <c r="A14" s="975" t="s">
        <v>17</v>
      </c>
      <c r="B14" s="179"/>
      <c r="C14" s="179"/>
      <c r="D14" s="179"/>
      <c r="E14" s="179"/>
      <c r="F14" s="179"/>
      <c r="G14" s="49"/>
      <c r="H14" s="49"/>
      <c r="I14" s="49"/>
      <c r="J14" s="49"/>
      <c r="K14" s="49"/>
      <c r="L14" s="395"/>
      <c r="M14" s="49"/>
      <c r="N14" s="49"/>
      <c r="O14" s="49"/>
      <c r="P14" s="49"/>
      <c r="Q14" s="49"/>
      <c r="R14" s="49"/>
      <c r="S14" s="49"/>
      <c r="T14" s="49"/>
      <c r="U14" s="181"/>
      <c r="V14" s="181"/>
      <c r="W14" s="180"/>
      <c r="X14" s="181"/>
      <c r="Y14" s="181">
        <v>13</v>
      </c>
      <c r="Z14" s="181">
        <v>132</v>
      </c>
      <c r="AA14" s="182">
        <v>331</v>
      </c>
      <c r="AB14" s="180">
        <v>409</v>
      </c>
      <c r="AC14" s="49">
        <v>620</v>
      </c>
      <c r="AD14" s="181">
        <v>456</v>
      </c>
      <c r="AE14" s="181">
        <v>837</v>
      </c>
      <c r="AF14" s="181">
        <v>1666</v>
      </c>
      <c r="AG14" s="181">
        <v>2505</v>
      </c>
      <c r="AH14" s="181">
        <v>844</v>
      </c>
      <c r="AI14" s="181">
        <v>884</v>
      </c>
      <c r="AJ14" s="181">
        <v>264</v>
      </c>
      <c r="AK14" s="181">
        <v>1054</v>
      </c>
      <c r="AL14" s="181">
        <v>2375</v>
      </c>
      <c r="AM14" s="181">
        <v>2295</v>
      </c>
      <c r="AN14" s="83">
        <f t="shared" si="1"/>
        <v>14685</v>
      </c>
      <c r="AO14" s="332"/>
      <c r="AP14" s="411"/>
    </row>
    <row r="15" spans="1:42" ht="24" customHeight="1" x14ac:dyDescent="0.2">
      <c r="A15" s="976" t="s">
        <v>462</v>
      </c>
      <c r="B15" s="179"/>
      <c r="C15" s="179"/>
      <c r="D15" s="49"/>
      <c r="E15" s="49"/>
      <c r="F15" s="49"/>
      <c r="G15" s="49"/>
      <c r="H15" s="49">
        <v>977</v>
      </c>
      <c r="I15" s="49">
        <v>7646</v>
      </c>
      <c r="J15" s="49">
        <v>23973</v>
      </c>
      <c r="K15" s="49">
        <v>62173</v>
      </c>
      <c r="L15" s="49">
        <v>66640</v>
      </c>
      <c r="M15" s="49">
        <v>62667</v>
      </c>
      <c r="N15" s="49">
        <v>69528</v>
      </c>
      <c r="O15" s="49">
        <v>70609</v>
      </c>
      <c r="P15" s="49">
        <v>60870</v>
      </c>
      <c r="Q15" s="49">
        <v>54822</v>
      </c>
      <c r="R15" s="49">
        <v>52335</v>
      </c>
      <c r="S15" s="49">
        <v>42090</v>
      </c>
      <c r="T15" s="49">
        <v>41016</v>
      </c>
      <c r="U15" s="181">
        <v>41462</v>
      </c>
      <c r="V15" s="181">
        <v>16479</v>
      </c>
      <c r="W15" s="180">
        <v>29975</v>
      </c>
      <c r="X15" s="181">
        <v>10170</v>
      </c>
      <c r="Y15" s="181">
        <v>2146</v>
      </c>
      <c r="Z15" s="181">
        <v>6150</v>
      </c>
      <c r="AA15" s="182">
        <v>20667</v>
      </c>
      <c r="AB15" s="180">
        <v>19174</v>
      </c>
      <c r="AC15" s="49">
        <v>11237</v>
      </c>
      <c r="AD15" s="181">
        <v>12159</v>
      </c>
      <c r="AE15" s="181">
        <v>6826</v>
      </c>
      <c r="AF15" s="181">
        <v>8021</v>
      </c>
      <c r="AG15" s="181">
        <v>10405</v>
      </c>
      <c r="AH15" s="181">
        <v>14666</v>
      </c>
      <c r="AI15" s="181">
        <v>10395</v>
      </c>
      <c r="AJ15" s="181">
        <v>4154</v>
      </c>
      <c r="AK15" s="181">
        <v>7302</v>
      </c>
      <c r="AL15" s="181">
        <v>7226</v>
      </c>
      <c r="AM15" s="181">
        <v>7771</v>
      </c>
      <c r="AN15" s="83">
        <f t="shared" si="1"/>
        <v>861731</v>
      </c>
      <c r="AO15" s="332"/>
      <c r="AP15" s="411"/>
    </row>
    <row r="16" spans="1:42" ht="24" customHeight="1" x14ac:dyDescent="0.2">
      <c r="A16" s="975" t="s">
        <v>61</v>
      </c>
      <c r="B16" s="179"/>
      <c r="C16" s="179"/>
      <c r="D16" s="49"/>
      <c r="E16" s="49"/>
      <c r="F16" s="49"/>
      <c r="G16" s="49"/>
      <c r="H16" s="49"/>
      <c r="I16" s="49"/>
      <c r="J16" s="49"/>
      <c r="K16" s="49"/>
      <c r="L16" s="49"/>
      <c r="M16" s="50">
        <v>3990</v>
      </c>
      <c r="N16" s="50">
        <v>26314</v>
      </c>
      <c r="O16" s="50">
        <v>41065</v>
      </c>
      <c r="P16" s="50">
        <v>39692</v>
      </c>
      <c r="Q16" s="50">
        <v>46572</v>
      </c>
      <c r="R16" s="50">
        <v>57001</v>
      </c>
      <c r="S16" s="50">
        <v>28258</v>
      </c>
      <c r="T16" s="50">
        <v>13571</v>
      </c>
      <c r="U16" s="122">
        <v>11446</v>
      </c>
      <c r="V16" s="122">
        <v>23198</v>
      </c>
      <c r="W16" s="121">
        <v>35206</v>
      </c>
      <c r="X16" s="122">
        <v>22920</v>
      </c>
      <c r="Y16" s="122">
        <v>17949</v>
      </c>
      <c r="Z16" s="122">
        <v>15327</v>
      </c>
      <c r="AA16" s="123">
        <v>22350</v>
      </c>
      <c r="AB16" s="121">
        <v>31605</v>
      </c>
      <c r="AC16" s="50">
        <v>28869</v>
      </c>
      <c r="AD16" s="122">
        <v>13182</v>
      </c>
      <c r="AE16" s="122">
        <v>16348</v>
      </c>
      <c r="AF16" s="122">
        <v>3575</v>
      </c>
      <c r="AG16" s="122">
        <v>1277</v>
      </c>
      <c r="AH16" s="122">
        <v>1294</v>
      </c>
      <c r="AI16" s="122">
        <v>2032</v>
      </c>
      <c r="AJ16" s="122">
        <v>1311</v>
      </c>
      <c r="AK16" s="181">
        <v>0</v>
      </c>
      <c r="AL16" s="181"/>
      <c r="AM16" s="181"/>
      <c r="AN16" s="83">
        <f t="shared" si="1"/>
        <v>504352</v>
      </c>
      <c r="AO16" s="332"/>
      <c r="AP16" s="652"/>
    </row>
    <row r="17" spans="1:42" ht="39.75" customHeight="1" x14ac:dyDescent="0.2">
      <c r="A17" s="975" t="s">
        <v>62</v>
      </c>
      <c r="B17" s="364"/>
      <c r="C17" s="364"/>
      <c r="D17" s="365"/>
      <c r="E17" s="365">
        <v>26942</v>
      </c>
      <c r="F17" s="365">
        <v>41115</v>
      </c>
      <c r="G17" s="365">
        <v>64263</v>
      </c>
      <c r="H17" s="365">
        <v>90757</v>
      </c>
      <c r="I17" s="365">
        <v>69829</v>
      </c>
      <c r="J17" s="365">
        <v>74708</v>
      </c>
      <c r="K17" s="365">
        <v>83367</v>
      </c>
      <c r="L17" s="365">
        <v>73236</v>
      </c>
      <c r="M17" s="174">
        <v>22070</v>
      </c>
      <c r="N17" s="174">
        <v>3238</v>
      </c>
      <c r="O17" s="174">
        <v>1340</v>
      </c>
      <c r="P17" s="174">
        <v>522</v>
      </c>
      <c r="Q17" s="174">
        <v>132</v>
      </c>
      <c r="R17" s="50"/>
      <c r="S17" s="50"/>
      <c r="T17" s="50"/>
      <c r="U17" s="122"/>
      <c r="V17" s="122"/>
      <c r="W17" s="121"/>
      <c r="X17" s="122"/>
      <c r="Y17" s="122"/>
      <c r="Z17" s="122"/>
      <c r="AA17" s="123"/>
      <c r="AB17" s="121"/>
      <c r="AC17" s="50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83">
        <f t="shared" si="1"/>
        <v>551519</v>
      </c>
      <c r="AO17" s="977"/>
      <c r="AP17" s="652"/>
    </row>
    <row r="18" spans="1:42" ht="24" customHeight="1" x14ac:dyDescent="0.2">
      <c r="A18" s="978" t="s">
        <v>70</v>
      </c>
      <c r="B18" s="180"/>
      <c r="C18" s="180"/>
      <c r="D18" s="181"/>
      <c r="E18" s="181"/>
      <c r="F18" s="181"/>
      <c r="G18" s="181"/>
      <c r="H18" s="181"/>
      <c r="I18" s="181"/>
      <c r="J18" s="181"/>
      <c r="K18" s="181"/>
      <c r="L18" s="979"/>
      <c r="M18" s="181"/>
      <c r="N18" s="181"/>
      <c r="O18" s="181"/>
      <c r="P18" s="181"/>
      <c r="Q18" s="181"/>
      <c r="R18" s="181"/>
      <c r="S18" s="181"/>
      <c r="T18" s="180"/>
      <c r="U18" s="181"/>
      <c r="V18" s="181"/>
      <c r="W18" s="180"/>
      <c r="X18" s="181"/>
      <c r="Y18" s="181"/>
      <c r="Z18" s="181"/>
      <c r="AA18" s="181"/>
      <c r="AB18" s="181"/>
      <c r="AC18" s="181"/>
      <c r="AD18" s="181"/>
      <c r="AE18" s="181"/>
      <c r="AF18" s="49">
        <v>794</v>
      </c>
      <c r="AG18" s="49">
        <v>1483</v>
      </c>
      <c r="AH18" s="49">
        <v>1465</v>
      </c>
      <c r="AI18" s="49">
        <v>1641</v>
      </c>
      <c r="AJ18" s="49"/>
      <c r="AK18" s="49">
        <v>14</v>
      </c>
      <c r="AL18" s="181"/>
      <c r="AM18" s="181"/>
      <c r="AN18" s="82">
        <f t="shared" si="1"/>
        <v>5397</v>
      </c>
      <c r="AO18" s="332"/>
      <c r="AP18" s="411"/>
    </row>
    <row r="19" spans="1:42" ht="24" customHeight="1" x14ac:dyDescent="0.2">
      <c r="A19" s="962" t="s">
        <v>463</v>
      </c>
      <c r="B19" s="364">
        <v>27564</v>
      </c>
      <c r="C19" s="364">
        <v>34542</v>
      </c>
      <c r="D19" s="365">
        <v>15284</v>
      </c>
      <c r="E19" s="365">
        <v>22269</v>
      </c>
      <c r="F19" s="365">
        <v>5001</v>
      </c>
      <c r="G19" s="365">
        <v>3321</v>
      </c>
      <c r="H19" s="365">
        <v>2316</v>
      </c>
      <c r="I19" s="365">
        <v>1591</v>
      </c>
      <c r="J19" s="365">
        <v>1184</v>
      </c>
      <c r="K19" s="365"/>
      <c r="L19" s="980"/>
      <c r="M19" s="365"/>
      <c r="N19" s="365"/>
      <c r="O19" s="365"/>
      <c r="P19" s="365"/>
      <c r="Q19" s="365"/>
      <c r="R19" s="365"/>
      <c r="S19" s="365"/>
      <c r="T19" s="181"/>
      <c r="U19" s="181"/>
      <c r="V19" s="181"/>
      <c r="W19" s="180"/>
      <c r="X19" s="181"/>
      <c r="Y19" s="181"/>
      <c r="Z19" s="181"/>
      <c r="AA19" s="182"/>
      <c r="AB19" s="180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82">
        <f t="shared" si="1"/>
        <v>113072</v>
      </c>
      <c r="AO19" s="953"/>
      <c r="AP19" s="411"/>
    </row>
    <row r="20" spans="1:42" ht="27" customHeight="1" x14ac:dyDescent="0.2">
      <c r="A20" s="975" t="s">
        <v>464</v>
      </c>
      <c r="B20" s="179"/>
      <c r="C20" s="179">
        <v>3573</v>
      </c>
      <c r="D20" s="49">
        <v>7206</v>
      </c>
      <c r="E20" s="49">
        <v>16025</v>
      </c>
      <c r="F20" s="49">
        <v>17718</v>
      </c>
      <c r="G20" s="49">
        <v>10485</v>
      </c>
      <c r="H20" s="49">
        <v>5585</v>
      </c>
      <c r="I20" s="49">
        <v>4378</v>
      </c>
      <c r="J20" s="49">
        <v>3243</v>
      </c>
      <c r="K20" s="49">
        <v>2986</v>
      </c>
      <c r="L20" s="49">
        <v>1965</v>
      </c>
      <c r="M20" s="49">
        <v>2405</v>
      </c>
      <c r="N20" s="49">
        <v>2856</v>
      </c>
      <c r="O20" s="49">
        <v>2161</v>
      </c>
      <c r="P20" s="49">
        <v>1543</v>
      </c>
      <c r="Q20" s="49">
        <v>1332</v>
      </c>
      <c r="R20" s="49">
        <v>1059</v>
      </c>
      <c r="S20" s="49"/>
      <c r="T20" s="49"/>
      <c r="U20" s="181"/>
      <c r="V20" s="181"/>
      <c r="W20" s="180"/>
      <c r="X20" s="181"/>
      <c r="Y20" s="181"/>
      <c r="Z20" s="181"/>
      <c r="AA20" s="182"/>
      <c r="AB20" s="180"/>
      <c r="AC20" s="49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83">
        <f t="shared" si="1"/>
        <v>84520</v>
      </c>
      <c r="AO20" s="953"/>
      <c r="AP20" s="411"/>
    </row>
    <row r="21" spans="1:42" ht="24" customHeight="1" x14ac:dyDescent="0.2">
      <c r="A21" s="975" t="s">
        <v>112</v>
      </c>
      <c r="B21" s="179"/>
      <c r="C21" s="179"/>
      <c r="D21" s="49"/>
      <c r="E21" s="49"/>
      <c r="F21" s="49">
        <v>1</v>
      </c>
      <c r="G21" s="49">
        <v>2</v>
      </c>
      <c r="H21" s="49">
        <v>6</v>
      </c>
      <c r="I21" s="49"/>
      <c r="J21" s="49"/>
      <c r="K21" s="49"/>
      <c r="L21" s="395"/>
      <c r="M21" s="49"/>
      <c r="N21" s="49"/>
      <c r="O21" s="49"/>
      <c r="P21" s="49"/>
      <c r="Q21" s="50"/>
      <c r="R21" s="50"/>
      <c r="S21" s="50"/>
      <c r="T21" s="50"/>
      <c r="U21" s="50"/>
      <c r="V21" s="50"/>
      <c r="W21" s="50"/>
      <c r="X21" s="122"/>
      <c r="Y21" s="122"/>
      <c r="Z21" s="122"/>
      <c r="AA21" s="123"/>
      <c r="AB21" s="121"/>
      <c r="AC21" s="50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83">
        <f t="shared" si="1"/>
        <v>9</v>
      </c>
      <c r="AO21" s="977"/>
      <c r="AP21" s="411"/>
    </row>
    <row r="22" spans="1:42" ht="24" customHeight="1" x14ac:dyDescent="0.2">
      <c r="A22" s="962" t="s">
        <v>465</v>
      </c>
      <c r="B22" s="364"/>
      <c r="C22" s="364"/>
      <c r="D22" s="365">
        <v>14645</v>
      </c>
      <c r="E22" s="365">
        <v>2102</v>
      </c>
      <c r="F22" s="365"/>
      <c r="G22" s="365"/>
      <c r="H22" s="365"/>
      <c r="I22" s="365"/>
      <c r="J22" s="365"/>
      <c r="K22" s="365"/>
      <c r="L22" s="980"/>
      <c r="M22" s="365"/>
      <c r="N22" s="365"/>
      <c r="O22" s="365"/>
      <c r="P22" s="365"/>
      <c r="Q22" s="365"/>
      <c r="R22" s="365"/>
      <c r="S22" s="365"/>
      <c r="T22" s="181"/>
      <c r="U22" s="181"/>
      <c r="V22" s="181"/>
      <c r="W22" s="180"/>
      <c r="X22" s="181"/>
      <c r="Y22" s="181"/>
      <c r="Z22" s="181"/>
      <c r="AA22" s="182"/>
      <c r="AB22" s="180"/>
      <c r="AC22" s="49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83">
        <f t="shared" si="1"/>
        <v>16747</v>
      </c>
      <c r="AO22" s="953"/>
      <c r="AP22" s="411"/>
    </row>
    <row r="23" spans="1:42" ht="24" customHeight="1" x14ac:dyDescent="0.2">
      <c r="A23" s="975" t="s">
        <v>67</v>
      </c>
      <c r="B23" s="179">
        <v>2206</v>
      </c>
      <c r="C23" s="179">
        <v>8910</v>
      </c>
      <c r="D23" s="49">
        <v>9088</v>
      </c>
      <c r="E23" s="49">
        <v>6316</v>
      </c>
      <c r="F23" s="49"/>
      <c r="G23" s="49"/>
      <c r="H23" s="49"/>
      <c r="I23" s="49"/>
      <c r="J23" s="49"/>
      <c r="K23" s="49"/>
      <c r="L23" s="395"/>
      <c r="M23" s="49"/>
      <c r="N23" s="49"/>
      <c r="O23" s="49"/>
      <c r="P23" s="49"/>
      <c r="Q23" s="49"/>
      <c r="R23" s="49"/>
      <c r="S23" s="49"/>
      <c r="T23" s="49"/>
      <c r="U23" s="181"/>
      <c r="V23" s="181"/>
      <c r="W23" s="180"/>
      <c r="X23" s="181"/>
      <c r="Y23" s="181"/>
      <c r="Z23" s="181"/>
      <c r="AA23" s="182"/>
      <c r="AB23" s="180"/>
      <c r="AC23" s="49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83">
        <f t="shared" si="1"/>
        <v>26520</v>
      </c>
      <c r="AO23" s="953"/>
      <c r="AP23" s="411"/>
    </row>
    <row r="24" spans="1:42" ht="24" customHeight="1" x14ac:dyDescent="0.2">
      <c r="A24" s="975" t="s">
        <v>68</v>
      </c>
      <c r="B24" s="179">
        <v>17807</v>
      </c>
      <c r="C24" s="179">
        <v>13080</v>
      </c>
      <c r="D24" s="49">
        <v>28659</v>
      </c>
      <c r="E24" s="49">
        <v>6348</v>
      </c>
      <c r="F24" s="49"/>
      <c r="G24" s="49"/>
      <c r="H24" s="49"/>
      <c r="I24" s="49"/>
      <c r="J24" s="49"/>
      <c r="K24" s="49"/>
      <c r="L24" s="395"/>
      <c r="M24" s="49"/>
      <c r="N24" s="49"/>
      <c r="O24" s="49"/>
      <c r="P24" s="49"/>
      <c r="Q24" s="49"/>
      <c r="R24" s="49"/>
      <c r="S24" s="49"/>
      <c r="T24" s="49"/>
      <c r="U24" s="181"/>
      <c r="V24" s="181"/>
      <c r="W24" s="180"/>
      <c r="X24" s="181"/>
      <c r="Y24" s="181"/>
      <c r="Z24" s="181"/>
      <c r="AA24" s="182"/>
      <c r="AB24" s="180"/>
      <c r="AC24" s="49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83">
        <f t="shared" si="1"/>
        <v>65894</v>
      </c>
      <c r="AO24" s="953"/>
      <c r="AP24" s="411"/>
    </row>
    <row r="25" spans="1:42" ht="24" customHeight="1" thickBot="1" x14ac:dyDescent="0.25">
      <c r="A25" s="981" t="s">
        <v>466</v>
      </c>
      <c r="B25" s="982"/>
      <c r="C25" s="982">
        <v>8284</v>
      </c>
      <c r="D25" s="973">
        <v>57577</v>
      </c>
      <c r="E25" s="973">
        <v>94305</v>
      </c>
      <c r="F25" s="973">
        <v>170136</v>
      </c>
      <c r="G25" s="973"/>
      <c r="H25" s="973"/>
      <c r="I25" s="973"/>
      <c r="J25" s="973"/>
      <c r="K25" s="973"/>
      <c r="L25" s="983"/>
      <c r="M25" s="973"/>
      <c r="N25" s="973"/>
      <c r="O25" s="973"/>
      <c r="P25" s="973"/>
      <c r="Q25" s="973"/>
      <c r="R25" s="973"/>
      <c r="S25" s="973"/>
      <c r="T25" s="973"/>
      <c r="U25" s="984"/>
      <c r="V25" s="984"/>
      <c r="W25" s="985"/>
      <c r="X25" s="984"/>
      <c r="Y25" s="984"/>
      <c r="Z25" s="984"/>
      <c r="AA25" s="986"/>
      <c r="AB25" s="985"/>
      <c r="AC25" s="973"/>
      <c r="AD25" s="984"/>
      <c r="AE25" s="984"/>
      <c r="AF25" s="984"/>
      <c r="AG25" s="984"/>
      <c r="AH25" s="984"/>
      <c r="AI25" s="984"/>
      <c r="AJ25" s="984"/>
      <c r="AK25" s="984"/>
      <c r="AL25" s="984"/>
      <c r="AM25" s="984"/>
      <c r="AN25" s="183">
        <f t="shared" si="1"/>
        <v>330302</v>
      </c>
      <c r="AO25" s="953"/>
      <c r="AP25" s="411"/>
    </row>
    <row r="26" spans="1:42" s="989" customFormat="1" ht="21.6" customHeight="1" thickTop="1" x14ac:dyDescent="0.2">
      <c r="A26" s="987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988"/>
    </row>
    <row r="27" spans="1:42" x14ac:dyDescent="0.2">
      <c r="A27" s="307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990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7"/>
      <c r="AC27" s="187"/>
      <c r="AD27" s="185"/>
      <c r="AE27" s="185"/>
      <c r="AF27" s="185"/>
      <c r="AG27" s="185"/>
      <c r="AH27" s="188"/>
      <c r="AI27" s="188"/>
      <c r="AJ27" s="188"/>
      <c r="AK27" s="188"/>
      <c r="AL27" s="188"/>
      <c r="AM27" s="188"/>
      <c r="AN27" s="991"/>
      <c r="AO27" s="953"/>
      <c r="AP27" s="411"/>
    </row>
    <row r="28" spans="1:42" x14ac:dyDescent="0.2">
      <c r="A28" s="307"/>
      <c r="B28" s="992"/>
      <c r="C28" s="992"/>
      <c r="D28" s="992"/>
      <c r="E28" s="992"/>
      <c r="F28" s="992"/>
      <c r="G28" s="992"/>
      <c r="H28" s="992"/>
      <c r="I28" s="185"/>
      <c r="J28" s="185"/>
      <c r="K28" s="993"/>
      <c r="L28" s="990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6"/>
      <c r="AO28" s="953"/>
      <c r="AP28" s="411"/>
    </row>
    <row r="29" spans="1:42" x14ac:dyDescent="0.2">
      <c r="A29" s="307"/>
      <c r="B29" s="992"/>
      <c r="C29" s="992"/>
      <c r="D29" s="992"/>
      <c r="E29" s="992"/>
      <c r="F29" s="992"/>
      <c r="G29" s="992"/>
      <c r="H29" s="992"/>
      <c r="I29" s="992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992"/>
      <c r="W29" s="992"/>
      <c r="X29" s="992"/>
      <c r="Y29" s="992"/>
      <c r="Z29" s="185">
        <f>+Z7+Z8+Z13+Z14+Z16</f>
        <v>78704</v>
      </c>
      <c r="AA29" s="185">
        <f t="shared" ref="AA29:AE29" si="3">+AA7+AA8+AA13+AA14+AA16</f>
        <v>87981</v>
      </c>
      <c r="AB29" s="185">
        <f t="shared" si="3"/>
        <v>85383</v>
      </c>
      <c r="AC29" s="185">
        <f t="shared" si="3"/>
        <v>100925</v>
      </c>
      <c r="AD29" s="185">
        <f t="shared" si="3"/>
        <v>89841</v>
      </c>
      <c r="AE29" s="185">
        <f t="shared" si="3"/>
        <v>133212</v>
      </c>
      <c r="AF29" s="185">
        <f>+AF7+AF8+AF13+AF14+AF16+AF18</f>
        <v>135934</v>
      </c>
      <c r="AG29" s="185">
        <f t="shared" ref="AG29:AK29" si="4">+AG7+AG8+AG13+AG14+AG16+AG18</f>
        <v>121003</v>
      </c>
      <c r="AH29" s="185">
        <f t="shared" si="4"/>
        <v>119787</v>
      </c>
      <c r="AI29" s="185">
        <f t="shared" si="4"/>
        <v>138161</v>
      </c>
      <c r="AJ29" s="185">
        <f t="shared" si="4"/>
        <v>106787</v>
      </c>
      <c r="AK29" s="185">
        <f t="shared" si="4"/>
        <v>33950</v>
      </c>
      <c r="AL29" s="185">
        <f>+AL7+AL8+AL13+AL14+AL16+AL18</f>
        <v>35217</v>
      </c>
      <c r="AM29" s="185"/>
      <c r="AN29" s="110">
        <f>SUM(Z29:AM29)</f>
        <v>1266885</v>
      </c>
      <c r="AO29" s="953"/>
      <c r="AP29" s="411"/>
    </row>
    <row r="30" spans="1:42" x14ac:dyDescent="0.2">
      <c r="A30" s="307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990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7"/>
      <c r="AC30" s="187"/>
      <c r="AD30" s="185"/>
      <c r="AE30" s="185"/>
      <c r="AF30" s="185"/>
      <c r="AG30" s="185"/>
      <c r="AH30" s="188"/>
      <c r="AI30" s="188"/>
      <c r="AJ30" s="188"/>
      <c r="AK30" s="188"/>
      <c r="AL30" s="188"/>
      <c r="AM30" s="188"/>
      <c r="AN30" s="110"/>
      <c r="AO30" s="953"/>
      <c r="AP30" s="411"/>
    </row>
    <row r="31" spans="1:42" x14ac:dyDescent="0.2">
      <c r="A31" s="307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990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7"/>
      <c r="AC31" s="187"/>
      <c r="AD31" s="185"/>
      <c r="AE31" s="185"/>
      <c r="AF31" s="185"/>
      <c r="AG31" s="185"/>
      <c r="AH31" s="188"/>
      <c r="AI31" s="188"/>
      <c r="AJ31" s="188"/>
      <c r="AK31" s="188"/>
      <c r="AL31" s="188"/>
      <c r="AM31" s="188"/>
      <c r="AN31" s="110"/>
      <c r="AO31" s="953"/>
      <c r="AP31" s="411"/>
    </row>
    <row r="32" spans="1:42" x14ac:dyDescent="0.2">
      <c r="A32" s="307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990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10"/>
      <c r="AO32" s="953"/>
      <c r="AP32" s="411"/>
    </row>
    <row r="33" spans="1:42" x14ac:dyDescent="0.2">
      <c r="A33" s="307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990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7"/>
      <c r="AC33" s="187"/>
      <c r="AD33" s="185"/>
      <c r="AE33" s="185"/>
      <c r="AF33" s="185"/>
      <c r="AG33" s="185"/>
      <c r="AH33" s="188"/>
      <c r="AI33" s="188"/>
      <c r="AJ33" s="188"/>
      <c r="AK33" s="188"/>
      <c r="AL33" s="188"/>
      <c r="AM33" s="188"/>
      <c r="AN33" s="110"/>
      <c r="AO33" s="953"/>
      <c r="AP33" s="411"/>
    </row>
    <row r="34" spans="1:42" x14ac:dyDescent="0.2">
      <c r="A34" s="307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990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7"/>
      <c r="AC34" s="187"/>
      <c r="AD34" s="185"/>
      <c r="AE34" s="185"/>
      <c r="AF34" s="185"/>
      <c r="AG34" s="185"/>
      <c r="AH34" s="188"/>
      <c r="AI34" s="188"/>
      <c r="AJ34" s="188"/>
      <c r="AK34" s="188"/>
      <c r="AL34" s="188"/>
      <c r="AM34" s="188"/>
      <c r="AN34" s="110"/>
      <c r="AO34" s="953"/>
      <c r="AP34" s="411"/>
    </row>
    <row r="35" spans="1:42" x14ac:dyDescent="0.2">
      <c r="A35" s="307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990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7"/>
      <c r="AC35" s="187"/>
      <c r="AD35" s="185"/>
      <c r="AE35" s="185"/>
      <c r="AF35" s="185"/>
      <c r="AG35" s="185"/>
      <c r="AH35" s="188"/>
      <c r="AI35" s="188"/>
      <c r="AJ35" s="188"/>
      <c r="AK35" s="188"/>
      <c r="AL35" s="188"/>
      <c r="AM35" s="188"/>
      <c r="AN35" s="110"/>
      <c r="AO35" s="953"/>
      <c r="AP35" s="411"/>
    </row>
    <row r="36" spans="1:42" x14ac:dyDescent="0.2">
      <c r="A36" s="307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990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7"/>
      <c r="AC36" s="187"/>
      <c r="AD36" s="185"/>
      <c r="AE36" s="185"/>
      <c r="AF36" s="185"/>
      <c r="AG36" s="185"/>
      <c r="AH36" s="188"/>
      <c r="AI36" s="188"/>
      <c r="AJ36" s="188"/>
      <c r="AK36" s="188"/>
      <c r="AL36" s="188"/>
      <c r="AM36" s="188"/>
      <c r="AN36" s="110"/>
      <c r="AO36" s="953"/>
      <c r="AP36" s="411"/>
    </row>
    <row r="37" spans="1:42" x14ac:dyDescent="0.2">
      <c r="A37" s="307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990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7"/>
      <c r="AC37" s="187"/>
      <c r="AD37" s="185"/>
      <c r="AE37" s="185"/>
      <c r="AF37" s="185"/>
      <c r="AG37" s="185"/>
      <c r="AH37" s="188"/>
      <c r="AI37" s="188"/>
      <c r="AJ37" s="188"/>
      <c r="AK37" s="188"/>
      <c r="AL37" s="188"/>
      <c r="AM37" s="188"/>
      <c r="AN37" s="110"/>
      <c r="AO37" s="953"/>
      <c r="AP37" s="411"/>
    </row>
    <row r="38" spans="1:42" x14ac:dyDescent="0.2">
      <c r="A38" s="307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990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7"/>
      <c r="AC38" s="187"/>
      <c r="AD38" s="185"/>
      <c r="AE38" s="185"/>
      <c r="AF38" s="185"/>
      <c r="AG38" s="185"/>
      <c r="AH38" s="188"/>
      <c r="AI38" s="188"/>
      <c r="AJ38" s="188"/>
      <c r="AK38" s="188"/>
      <c r="AL38" s="188"/>
      <c r="AM38" s="188"/>
      <c r="AN38" s="110"/>
      <c r="AO38" s="953"/>
      <c r="AP38" s="411"/>
    </row>
    <row r="39" spans="1:42" x14ac:dyDescent="0.2">
      <c r="A39" s="307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990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7"/>
      <c r="AC39" s="187"/>
      <c r="AD39" s="185"/>
      <c r="AE39" s="185"/>
      <c r="AF39" s="185"/>
      <c r="AG39" s="185"/>
      <c r="AH39" s="188"/>
      <c r="AI39" s="188"/>
      <c r="AJ39" s="188"/>
      <c r="AK39" s="188"/>
      <c r="AL39" s="188"/>
      <c r="AM39" s="188"/>
      <c r="AN39" s="110"/>
      <c r="AO39" s="953"/>
      <c r="AP39" s="411"/>
    </row>
    <row r="40" spans="1:42" x14ac:dyDescent="0.2">
      <c r="V40" s="185"/>
      <c r="W40" s="185"/>
      <c r="X40" s="185"/>
      <c r="Y40" s="185"/>
      <c r="Z40" s="429"/>
      <c r="AA40" s="429"/>
      <c r="AB40" s="994"/>
      <c r="AD40" s="429"/>
      <c r="AE40" s="429"/>
      <c r="AF40" s="429"/>
      <c r="AG40" s="429"/>
      <c r="AH40" s="651"/>
      <c r="AN40" s="141"/>
      <c r="AO40" s="953"/>
      <c r="AP40" s="411"/>
    </row>
    <row r="41" spans="1:42" x14ac:dyDescent="0.2">
      <c r="A41" s="307"/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185"/>
      <c r="W41" s="185"/>
      <c r="X41" s="185"/>
      <c r="Y41" s="185"/>
      <c r="Z41" s="41"/>
      <c r="AA41" s="41"/>
      <c r="AB41" s="189"/>
      <c r="AC41" s="189"/>
      <c r="AD41" s="41"/>
      <c r="AE41" s="41"/>
      <c r="AF41" s="41"/>
      <c r="AG41" s="41"/>
      <c r="AH41" s="190"/>
      <c r="AI41" s="190"/>
      <c r="AJ41" s="190"/>
      <c r="AK41" s="190"/>
      <c r="AL41" s="190"/>
      <c r="AM41" s="190"/>
      <c r="AN41" s="141"/>
      <c r="AO41" s="953"/>
      <c r="AP41" s="411"/>
    </row>
    <row r="42" spans="1:42" x14ac:dyDescent="0.2">
      <c r="A42" s="307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185"/>
      <c r="W42" s="185"/>
      <c r="X42" s="185"/>
      <c r="Y42" s="185"/>
      <c r="Z42" s="307"/>
      <c r="AA42" s="307"/>
      <c r="AB42" s="995"/>
      <c r="AC42" s="995"/>
      <c r="AD42" s="307"/>
      <c r="AE42" s="307"/>
      <c r="AF42" s="307"/>
      <c r="AG42" s="307"/>
      <c r="AH42" s="400"/>
      <c r="AI42" s="400"/>
      <c r="AJ42" s="400"/>
      <c r="AK42" s="400"/>
      <c r="AL42" s="400"/>
      <c r="AM42" s="400"/>
      <c r="AN42" s="141"/>
      <c r="AO42" s="953"/>
      <c r="AP42" s="411"/>
    </row>
    <row r="43" spans="1:42" x14ac:dyDescent="0.2">
      <c r="A43" s="307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39"/>
      <c r="W43" s="339"/>
      <c r="X43" s="339"/>
      <c r="Y43" s="339"/>
      <c r="Z43" s="339"/>
      <c r="AA43" s="339"/>
      <c r="AB43" s="996"/>
      <c r="AC43" s="996"/>
      <c r="AD43" s="339"/>
      <c r="AE43" s="339"/>
      <c r="AF43" s="339"/>
      <c r="AG43" s="339"/>
      <c r="AH43" s="657"/>
      <c r="AI43" s="657"/>
      <c r="AJ43" s="657"/>
      <c r="AK43" s="657"/>
      <c r="AL43" s="657"/>
      <c r="AM43" s="657"/>
      <c r="AN43" s="141"/>
      <c r="AO43" s="953"/>
      <c r="AP43" s="411"/>
    </row>
    <row r="44" spans="1:42" x14ac:dyDescent="0.2">
      <c r="W44" s="429"/>
      <c r="X44" s="429"/>
      <c r="Y44" s="429"/>
      <c r="Z44" s="429"/>
      <c r="AA44" s="429"/>
      <c r="AB44" s="994"/>
      <c r="AD44" s="429"/>
      <c r="AE44" s="429"/>
      <c r="AF44" s="429"/>
      <c r="AG44" s="429"/>
      <c r="AH44" s="651"/>
      <c r="AN44" s="141"/>
      <c r="AO44" s="953"/>
      <c r="AP44" s="411"/>
    </row>
    <row r="45" spans="1:42" x14ac:dyDescent="0.2">
      <c r="W45" s="429"/>
      <c r="X45" s="429"/>
      <c r="Y45" s="429"/>
      <c r="Z45" s="429"/>
      <c r="AA45" s="429"/>
      <c r="AB45" s="994"/>
      <c r="AD45" s="429"/>
      <c r="AE45" s="429"/>
      <c r="AF45" s="429"/>
      <c r="AG45" s="429"/>
      <c r="AH45" s="651"/>
      <c r="AN45" s="141"/>
      <c r="AO45" s="953"/>
      <c r="AP45" s="411"/>
    </row>
  </sheetData>
  <printOptions horizontalCentered="1"/>
  <pageMargins left="0" right="0" top="0" bottom="0" header="0" footer="0"/>
  <pageSetup paperSize="17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8AFE-B45F-4BA2-B1B7-B81E87E61769}">
  <sheetPr transitionEvaluation="1">
    <pageSetUpPr fitToPage="1"/>
  </sheetPr>
  <dimension ref="A1:BF446"/>
  <sheetViews>
    <sheetView zoomScaleNormal="100" workbookViewId="0">
      <pane xSplit="1" topLeftCell="B1" activePane="topRight" state="frozen"/>
      <selection activeCell="B1" sqref="B1:C2"/>
      <selection pane="topRight" activeCell="B1" sqref="B1:C2"/>
    </sheetView>
  </sheetViews>
  <sheetFormatPr defaultColWidth="11.28515625" defaultRowHeight="12.75" x14ac:dyDescent="0.2"/>
  <cols>
    <col min="1" max="1" width="19.28515625" style="402" customWidth="1"/>
    <col min="2" max="2" width="6" style="999" bestFit="1" customWidth="1"/>
    <col min="3" max="9" width="6.85546875" style="999" bestFit="1" customWidth="1"/>
    <col min="10" max="10" width="6" style="999" bestFit="1" customWidth="1"/>
    <col min="11" max="11" width="4.7109375" style="999" bestFit="1" customWidth="1"/>
    <col min="12" max="24" width="6.85546875" style="999" bestFit="1" customWidth="1"/>
    <col min="25" max="26" width="6.7109375" style="999" bestFit="1" customWidth="1"/>
    <col min="27" max="29" width="7" style="999" bestFit="1" customWidth="1"/>
    <col min="30" max="30" width="7" style="213" bestFit="1" customWidth="1"/>
    <col min="31" max="33" width="7" style="110" bestFit="1" customWidth="1"/>
    <col min="34" max="34" width="8.42578125" style="125" customWidth="1"/>
    <col min="35" max="36" width="7.7109375" style="125" bestFit="1" customWidth="1"/>
    <col min="37" max="39" width="7.7109375" style="125" customWidth="1"/>
    <col min="40" max="40" width="7.7109375" style="999" bestFit="1" customWidth="1"/>
    <col min="41" max="43" width="7.7109375" style="999" customWidth="1"/>
    <col min="44" max="44" width="7.85546875" style="402" customWidth="1"/>
    <col min="45" max="46" width="7.7109375" style="402" customWidth="1"/>
    <col min="47" max="47" width="17.85546875" style="402" bestFit="1" customWidth="1"/>
    <col min="48" max="16384" width="11.28515625" style="999"/>
  </cols>
  <sheetData>
    <row r="1" spans="1:58" x14ac:dyDescent="0.2">
      <c r="B1" s="1088" t="s">
        <v>524</v>
      </c>
      <c r="C1" s="1088"/>
      <c r="AD1" s="110"/>
    </row>
    <row r="2" spans="1:58" x14ac:dyDescent="0.2">
      <c r="B2" s="1088" t="s">
        <v>517</v>
      </c>
      <c r="C2" s="1088"/>
      <c r="AD2" s="110"/>
    </row>
    <row r="3" spans="1:58" x14ac:dyDescent="0.2">
      <c r="A3" s="998" t="s">
        <v>467</v>
      </c>
      <c r="AB3" s="125">
        <f t="shared" ref="AB3:AE3" si="0">+AB7+AB8+AB9+AB10+AC19+AC20+AC21+AC29</f>
        <v>12854</v>
      </c>
      <c r="AC3" s="125">
        <f t="shared" si="0"/>
        <v>14042</v>
      </c>
      <c r="AD3" s="125">
        <f t="shared" si="0"/>
        <v>15411</v>
      </c>
      <c r="AE3" s="125">
        <f t="shared" si="0"/>
        <v>14843</v>
      </c>
      <c r="AF3" s="125">
        <f>+AF7+AF8+AF9+AF10+AG19+AG20+AG21+AG29</f>
        <v>16711</v>
      </c>
      <c r="AG3" s="125">
        <f>+AG7+AG8+AG9+AG10+AH19+AH20+AH21+AH29</f>
        <v>16488</v>
      </c>
      <c r="AH3" s="125">
        <f>+AH7+AH8+AH9+AH10+AH19+AH20+AH21+AH29</f>
        <v>15104</v>
      </c>
      <c r="AI3" s="125">
        <f>+AI7+AI8+AI9+AI10+AI19+AI20+AI21+AI29</f>
        <v>15413</v>
      </c>
      <c r="AJ3" s="125">
        <f>+AJ7+AJ8+AJ9+AJ10+AJ19+AJ20+AJ21+AJ29</f>
        <v>12817</v>
      </c>
      <c r="AK3" s="125">
        <f>+AK7+AK8+AK9+AK10+AK19+AK20+AK21+AK29</f>
        <v>12824</v>
      </c>
      <c r="AL3" s="125">
        <f>+AL7+AL8+AL9+AL10+AL19+AL20+AL21+AL29</f>
        <v>12195</v>
      </c>
      <c r="AN3" s="125">
        <f>SUM(AB3:AL3)</f>
        <v>158702</v>
      </c>
      <c r="AO3" s="125"/>
      <c r="AP3" s="125"/>
      <c r="AQ3" s="125"/>
      <c r="BF3" s="411"/>
    </row>
    <row r="4" spans="1:58" ht="13.5" thickBot="1" x14ac:dyDescent="0.25">
      <c r="U4" s="307"/>
      <c r="V4" s="307"/>
      <c r="W4" s="307"/>
      <c r="X4" s="307"/>
      <c r="Y4" s="307"/>
      <c r="Z4" s="307"/>
      <c r="AA4" s="307"/>
      <c r="AB4" s="307"/>
      <c r="AC4" s="307"/>
      <c r="AD4" s="110"/>
    </row>
    <row r="5" spans="1:58" ht="13.5" thickTop="1" x14ac:dyDescent="0.2">
      <c r="A5" s="1000"/>
      <c r="B5" s="1001"/>
      <c r="C5" s="1001"/>
      <c r="D5" s="1001"/>
      <c r="E5" s="1001"/>
      <c r="F5" s="1001"/>
      <c r="G5" s="1001"/>
      <c r="H5" s="1001"/>
      <c r="I5" s="1001"/>
      <c r="J5" s="1001"/>
      <c r="K5" s="1002"/>
      <c r="L5" s="1002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  <c r="AA5" s="1001"/>
      <c r="AB5" s="1003"/>
      <c r="AC5" s="1001"/>
      <c r="AD5" s="191"/>
      <c r="AE5" s="191"/>
      <c r="AF5" s="191"/>
      <c r="AG5" s="191"/>
      <c r="AH5" s="191"/>
      <c r="AI5" s="191"/>
      <c r="AJ5" s="192"/>
      <c r="AK5" s="192"/>
      <c r="AL5" s="192"/>
      <c r="AM5" s="192"/>
      <c r="AN5" s="1004"/>
      <c r="AO5" s="1005"/>
      <c r="AP5" s="1005"/>
      <c r="AQ5" s="1005"/>
    </row>
    <row r="6" spans="1:58" ht="13.5" thickBot="1" x14ac:dyDescent="0.25">
      <c r="A6" s="1006" t="s">
        <v>468</v>
      </c>
      <c r="B6" s="810">
        <v>1981</v>
      </c>
      <c r="C6" s="810">
        <v>1982</v>
      </c>
      <c r="D6" s="810">
        <v>1983</v>
      </c>
      <c r="E6" s="810">
        <v>1984</v>
      </c>
      <c r="F6" s="810">
        <v>1985</v>
      </c>
      <c r="G6" s="810">
        <v>1986</v>
      </c>
      <c r="H6" s="810">
        <v>1987</v>
      </c>
      <c r="I6" s="810">
        <v>1988</v>
      </c>
      <c r="J6" s="810">
        <v>1989</v>
      </c>
      <c r="K6" s="810" t="s">
        <v>35</v>
      </c>
      <c r="L6" s="810" t="s">
        <v>36</v>
      </c>
      <c r="M6" s="810">
        <v>1992</v>
      </c>
      <c r="N6" s="810">
        <v>1993</v>
      </c>
      <c r="O6" s="810">
        <v>1994</v>
      </c>
      <c r="P6" s="810">
        <v>1995</v>
      </c>
      <c r="Q6" s="810">
        <v>1996</v>
      </c>
      <c r="R6" s="810">
        <v>1997</v>
      </c>
      <c r="S6" s="1007">
        <v>1998</v>
      </c>
      <c r="T6" s="1007">
        <v>1999</v>
      </c>
      <c r="U6" s="1008">
        <v>2000</v>
      </c>
      <c r="V6" s="1009">
        <v>2001</v>
      </c>
      <c r="W6" s="1009">
        <v>2002</v>
      </c>
      <c r="X6" s="1009">
        <v>2003</v>
      </c>
      <c r="Y6" s="1009">
        <v>2004</v>
      </c>
      <c r="Z6" s="1009">
        <v>2005</v>
      </c>
      <c r="AA6" s="1009" t="s">
        <v>116</v>
      </c>
      <c r="AB6" s="1009">
        <v>2007</v>
      </c>
      <c r="AC6" s="1009">
        <v>2008</v>
      </c>
      <c r="AD6" s="1009">
        <v>2009</v>
      </c>
      <c r="AE6" s="1009">
        <v>2010</v>
      </c>
      <c r="AF6" s="1009">
        <v>2011</v>
      </c>
      <c r="AG6" s="1009">
        <v>2012</v>
      </c>
      <c r="AH6" s="1009">
        <v>2013</v>
      </c>
      <c r="AI6" s="1009">
        <v>2014</v>
      </c>
      <c r="AJ6" s="1009">
        <v>2015</v>
      </c>
      <c r="AK6" s="1009">
        <v>2016</v>
      </c>
      <c r="AL6" s="1009">
        <v>2017</v>
      </c>
      <c r="AM6" s="1009">
        <v>2018</v>
      </c>
      <c r="AN6" s="1010" t="s">
        <v>469</v>
      </c>
      <c r="AO6" s="1011"/>
      <c r="AP6" s="1011"/>
      <c r="AQ6" s="1011"/>
    </row>
    <row r="7" spans="1:58" ht="19.149999999999999" customHeight="1" thickTop="1" x14ac:dyDescent="0.2">
      <c r="A7" s="1012" t="s">
        <v>470</v>
      </c>
      <c r="B7" s="1013"/>
      <c r="C7" s="1013"/>
      <c r="D7" s="1013"/>
      <c r="E7" s="170">
        <v>212</v>
      </c>
      <c r="F7" s="170">
        <v>907</v>
      </c>
      <c r="G7" s="170">
        <v>391</v>
      </c>
      <c r="H7" s="170">
        <v>317</v>
      </c>
      <c r="I7" s="170">
        <v>431</v>
      </c>
      <c r="J7" s="193">
        <v>321</v>
      </c>
      <c r="K7" s="170">
        <v>572</v>
      </c>
      <c r="L7" s="170">
        <v>380</v>
      </c>
      <c r="M7" s="170">
        <v>728</v>
      </c>
      <c r="N7" s="170">
        <v>1236</v>
      </c>
      <c r="O7" s="170">
        <v>2064</v>
      </c>
      <c r="P7" s="170">
        <v>3591</v>
      </c>
      <c r="Q7" s="170">
        <v>3586</v>
      </c>
      <c r="R7" s="170">
        <v>845</v>
      </c>
      <c r="S7" s="170">
        <v>812</v>
      </c>
      <c r="T7" s="170">
        <v>404</v>
      </c>
      <c r="U7" s="170">
        <v>226</v>
      </c>
      <c r="V7" s="170">
        <v>197</v>
      </c>
      <c r="W7" s="170">
        <v>246</v>
      </c>
      <c r="X7" s="170">
        <v>156</v>
      </c>
      <c r="Y7" s="170">
        <v>527</v>
      </c>
      <c r="Z7" s="170">
        <v>171</v>
      </c>
      <c r="AA7" s="170">
        <v>220</v>
      </c>
      <c r="AB7" s="172">
        <v>192</v>
      </c>
      <c r="AC7" s="170">
        <v>302</v>
      </c>
      <c r="AD7" s="170">
        <v>230</v>
      </c>
      <c r="AE7" s="170">
        <v>344</v>
      </c>
      <c r="AF7" s="170">
        <v>354</v>
      </c>
      <c r="AG7" s="170">
        <v>277</v>
      </c>
      <c r="AH7" s="172">
        <v>187</v>
      </c>
      <c r="AI7" s="194">
        <v>121</v>
      </c>
      <c r="AJ7" s="194">
        <v>115</v>
      </c>
      <c r="AK7" s="195">
        <v>96</v>
      </c>
      <c r="AL7" s="195">
        <v>168</v>
      </c>
      <c r="AM7" s="195">
        <v>139</v>
      </c>
      <c r="AN7" s="196">
        <f>SUM(B7:AL7)</f>
        <v>20926</v>
      </c>
      <c r="AO7" s="110"/>
      <c r="AP7" s="110"/>
      <c r="AQ7" s="110"/>
    </row>
    <row r="8" spans="1:58" ht="19.149999999999999" customHeight="1" x14ac:dyDescent="0.2">
      <c r="A8" s="1014" t="s">
        <v>471</v>
      </c>
      <c r="B8" s="269"/>
      <c r="C8" s="269"/>
      <c r="D8" s="269"/>
      <c r="E8" s="269"/>
      <c r="F8" s="269"/>
      <c r="G8" s="269"/>
      <c r="H8" s="269"/>
      <c r="I8" s="269"/>
      <c r="J8" s="122"/>
      <c r="K8" s="122"/>
      <c r="L8" s="122"/>
      <c r="M8" s="122"/>
      <c r="N8" s="122"/>
      <c r="O8" s="122"/>
      <c r="P8" s="122">
        <v>2</v>
      </c>
      <c r="Q8" s="122">
        <v>1</v>
      </c>
      <c r="R8" s="122">
        <v>1</v>
      </c>
      <c r="S8" s="122">
        <v>0</v>
      </c>
      <c r="T8" s="122">
        <v>0</v>
      </c>
      <c r="U8" s="122"/>
      <c r="V8" s="122">
        <v>3</v>
      </c>
      <c r="W8" s="122">
        <v>3</v>
      </c>
      <c r="X8" s="122">
        <v>6</v>
      </c>
      <c r="Y8" s="122">
        <v>2</v>
      </c>
      <c r="Z8" s="122">
        <v>3</v>
      </c>
      <c r="AA8" s="122">
        <v>1</v>
      </c>
      <c r="AB8" s="123">
        <v>4</v>
      </c>
      <c r="AC8" s="50">
        <v>3</v>
      </c>
      <c r="AD8" s="50">
        <v>7</v>
      </c>
      <c r="AE8" s="50">
        <v>5</v>
      </c>
      <c r="AF8" s="50">
        <v>7</v>
      </c>
      <c r="AG8" s="50">
        <v>7</v>
      </c>
      <c r="AH8" s="123">
        <v>18</v>
      </c>
      <c r="AI8" s="197">
        <v>20</v>
      </c>
      <c r="AJ8" s="197"/>
      <c r="AK8" s="198">
        <v>17</v>
      </c>
      <c r="AL8" s="198">
        <v>13</v>
      </c>
      <c r="AM8" s="198">
        <v>5</v>
      </c>
      <c r="AN8" s="199">
        <f t="shared" ref="AN8:AN9" si="1">SUM(B8:AL8)</f>
        <v>123</v>
      </c>
      <c r="AO8" s="110"/>
      <c r="AP8" s="110"/>
      <c r="AQ8" s="110"/>
    </row>
    <row r="9" spans="1:58" ht="19.149999999999999" customHeight="1" thickBot="1" x14ac:dyDescent="0.25">
      <c r="A9" s="962" t="s">
        <v>472</v>
      </c>
      <c r="B9" s="1015"/>
      <c r="C9" s="1015"/>
      <c r="D9" s="1015"/>
      <c r="E9" s="1015"/>
      <c r="F9" s="1015"/>
      <c r="G9" s="1015"/>
      <c r="H9" s="1015"/>
      <c r="I9" s="1015"/>
      <c r="J9" s="174"/>
      <c r="K9" s="174"/>
      <c r="L9" s="174"/>
      <c r="M9" s="174"/>
      <c r="N9" s="174"/>
      <c r="O9" s="174"/>
      <c r="P9" s="174"/>
      <c r="Q9" s="174">
        <v>351</v>
      </c>
      <c r="R9" s="174">
        <v>816</v>
      </c>
      <c r="S9" s="174">
        <v>678</v>
      </c>
      <c r="T9" s="174">
        <v>681</v>
      </c>
      <c r="U9" s="174">
        <v>627</v>
      </c>
      <c r="V9" s="174">
        <v>378</v>
      </c>
      <c r="W9" s="174">
        <v>503</v>
      </c>
      <c r="X9" s="174">
        <v>450</v>
      </c>
      <c r="Y9" s="174">
        <v>634</v>
      </c>
      <c r="Z9" s="174">
        <v>594</v>
      </c>
      <c r="AA9" s="174">
        <v>299</v>
      </c>
      <c r="AB9" s="119">
        <v>735</v>
      </c>
      <c r="AC9" s="84">
        <v>1251</v>
      </c>
      <c r="AD9" s="84">
        <v>1562</v>
      </c>
      <c r="AE9" s="84">
        <v>2270</v>
      </c>
      <c r="AF9" s="84">
        <v>3567</v>
      </c>
      <c r="AG9" s="84">
        <v>3350</v>
      </c>
      <c r="AH9" s="110">
        <v>2143</v>
      </c>
      <c r="AI9" s="200">
        <v>1677</v>
      </c>
      <c r="AJ9" s="200"/>
      <c r="AK9" s="142">
        <v>7</v>
      </c>
      <c r="AL9" s="142"/>
      <c r="AM9" s="142"/>
      <c r="AN9" s="201">
        <f t="shared" si="1"/>
        <v>22573</v>
      </c>
      <c r="AO9" s="110"/>
      <c r="AP9" s="110"/>
      <c r="AQ9" s="110"/>
    </row>
    <row r="10" spans="1:58" ht="19.149999999999999" customHeight="1" thickTop="1" x14ac:dyDescent="0.2">
      <c r="A10" s="1016" t="s">
        <v>473</v>
      </c>
      <c r="B10" s="1017"/>
      <c r="C10" s="1017"/>
      <c r="D10" s="1017"/>
      <c r="E10" s="1017"/>
      <c r="F10" s="1017"/>
      <c r="G10" s="1017"/>
      <c r="H10" s="1017"/>
      <c r="I10" s="1017"/>
      <c r="J10" s="1017"/>
      <c r="K10" s="1017"/>
      <c r="L10" s="1018">
        <f>+L11+L12+L13+L14+L15+L16+L17+L18</f>
        <v>40</v>
      </c>
      <c r="M10" s="1018">
        <f t="shared" ref="M10:AG10" si="2">+M11+M12+M13+M14+M15+M16+M17+M18</f>
        <v>56</v>
      </c>
      <c r="N10" s="1018">
        <f t="shared" si="2"/>
        <v>893</v>
      </c>
      <c r="O10" s="1018">
        <f t="shared" si="2"/>
        <v>1392</v>
      </c>
      <c r="P10" s="1018">
        <f t="shared" si="2"/>
        <v>2937</v>
      </c>
      <c r="Q10" s="1018">
        <f t="shared" si="2"/>
        <v>2530</v>
      </c>
      <c r="R10" s="1018">
        <f t="shared" si="2"/>
        <v>790</v>
      </c>
      <c r="S10" s="1018">
        <f t="shared" si="2"/>
        <v>659</v>
      </c>
      <c r="T10" s="1018">
        <f t="shared" si="2"/>
        <v>661</v>
      </c>
      <c r="U10" s="1018">
        <f t="shared" si="2"/>
        <v>648</v>
      </c>
      <c r="V10" s="1018">
        <f t="shared" si="2"/>
        <v>734</v>
      </c>
      <c r="W10" s="1018">
        <f t="shared" si="2"/>
        <v>815</v>
      </c>
      <c r="X10" s="1018">
        <f t="shared" si="2"/>
        <v>724</v>
      </c>
      <c r="Y10" s="1018">
        <f t="shared" si="2"/>
        <v>541</v>
      </c>
      <c r="Z10" s="1018">
        <f t="shared" si="2"/>
        <v>454</v>
      </c>
      <c r="AA10" s="1018">
        <f t="shared" si="2"/>
        <v>304</v>
      </c>
      <c r="AB10" s="1018">
        <f t="shared" si="2"/>
        <v>303</v>
      </c>
      <c r="AC10" s="1018">
        <f t="shared" si="2"/>
        <v>426</v>
      </c>
      <c r="AD10" s="1018">
        <f t="shared" si="2"/>
        <v>367</v>
      </c>
      <c r="AE10" s="1018">
        <f t="shared" si="2"/>
        <v>463</v>
      </c>
      <c r="AF10" s="1018">
        <f t="shared" si="2"/>
        <v>582</v>
      </c>
      <c r="AG10" s="1018">
        <f t="shared" si="2"/>
        <v>636</v>
      </c>
      <c r="AH10" s="1019">
        <f>SUM(AH11:AH17)</f>
        <v>538</v>
      </c>
      <c r="AI10" s="1018">
        <f>SUM(AI11:AI17)</f>
        <v>571</v>
      </c>
      <c r="AJ10" s="1018">
        <v>449</v>
      </c>
      <c r="AK10" s="1018">
        <v>596</v>
      </c>
      <c r="AL10" s="1018">
        <v>500</v>
      </c>
      <c r="AM10" s="1020">
        <v>643</v>
      </c>
      <c r="AN10" s="1021">
        <f>SUM(B10:AL10)</f>
        <v>19609</v>
      </c>
      <c r="AO10" s="359"/>
      <c r="AP10" s="359"/>
      <c r="AQ10" s="359"/>
    </row>
    <row r="11" spans="1:58" ht="19.149999999999999" customHeight="1" x14ac:dyDescent="0.2">
      <c r="A11" s="969" t="s">
        <v>474</v>
      </c>
      <c r="B11" s="271"/>
      <c r="C11" s="271"/>
      <c r="D11" s="271"/>
      <c r="E11" s="271"/>
      <c r="F11" s="271"/>
      <c r="G11" s="271"/>
      <c r="H11" s="271"/>
      <c r="I11" s="271"/>
      <c r="J11" s="50"/>
      <c r="K11" s="50"/>
      <c r="L11" s="50">
        <v>9</v>
      </c>
      <c r="M11" s="50">
        <v>11</v>
      </c>
      <c r="N11" s="50">
        <v>18</v>
      </c>
      <c r="O11" s="50">
        <v>12</v>
      </c>
      <c r="P11" s="50">
        <v>15</v>
      </c>
      <c r="Q11" s="50">
        <v>16</v>
      </c>
      <c r="R11" s="50">
        <v>20</v>
      </c>
      <c r="S11" s="50">
        <v>17</v>
      </c>
      <c r="T11" s="50">
        <v>22</v>
      </c>
      <c r="U11" s="50">
        <v>16</v>
      </c>
      <c r="V11" s="50">
        <v>17</v>
      </c>
      <c r="W11" s="50">
        <v>14</v>
      </c>
      <c r="X11" s="50">
        <v>22</v>
      </c>
      <c r="Y11" s="50">
        <v>11</v>
      </c>
      <c r="Z11" s="50">
        <v>12</v>
      </c>
      <c r="AA11" s="50">
        <v>7</v>
      </c>
      <c r="AB11" s="50">
        <v>27</v>
      </c>
      <c r="AC11" s="50">
        <v>12</v>
      </c>
      <c r="AD11" s="50">
        <v>10</v>
      </c>
      <c r="AE11" s="50">
        <v>15</v>
      </c>
      <c r="AF11" s="50">
        <v>11</v>
      </c>
      <c r="AG11" s="50">
        <v>17</v>
      </c>
      <c r="AH11" s="202">
        <v>29</v>
      </c>
      <c r="AI11" s="203">
        <v>14</v>
      </c>
      <c r="AJ11" s="203"/>
      <c r="AK11" s="204"/>
      <c r="AL11" s="204"/>
      <c r="AM11" s="204"/>
      <c r="AN11" s="1022">
        <f>SUM(B11:AL11)</f>
        <v>374</v>
      </c>
      <c r="AO11" s="359"/>
      <c r="AP11" s="359"/>
      <c r="AQ11" s="359"/>
    </row>
    <row r="12" spans="1:58" ht="19.149999999999999" customHeight="1" x14ac:dyDescent="0.2">
      <c r="A12" s="969" t="s">
        <v>475</v>
      </c>
      <c r="B12" s="271"/>
      <c r="C12" s="271"/>
      <c r="D12" s="271"/>
      <c r="E12" s="271"/>
      <c r="F12" s="271"/>
      <c r="G12" s="271"/>
      <c r="H12" s="271"/>
      <c r="I12" s="271"/>
      <c r="J12" s="50"/>
      <c r="K12" s="50"/>
      <c r="L12" s="50"/>
      <c r="M12" s="50"/>
      <c r="N12" s="50">
        <v>15</v>
      </c>
      <c r="O12" s="50">
        <v>8</v>
      </c>
      <c r="P12" s="50">
        <v>12</v>
      </c>
      <c r="Q12" s="50">
        <v>22</v>
      </c>
      <c r="R12" s="50">
        <v>21</v>
      </c>
      <c r="S12" s="50">
        <v>17</v>
      </c>
      <c r="T12" s="50">
        <v>22</v>
      </c>
      <c r="U12" s="50">
        <v>69</v>
      </c>
      <c r="V12" s="50">
        <v>64</v>
      </c>
      <c r="W12" s="50">
        <v>79</v>
      </c>
      <c r="X12" s="50">
        <v>63</v>
      </c>
      <c r="Y12" s="50">
        <v>36</v>
      </c>
      <c r="Z12" s="50">
        <v>44</v>
      </c>
      <c r="AA12" s="50">
        <v>52</v>
      </c>
      <c r="AB12" s="50">
        <v>9</v>
      </c>
      <c r="AC12" s="50">
        <v>27</v>
      </c>
      <c r="AD12" s="50">
        <v>67</v>
      </c>
      <c r="AE12" s="50">
        <v>58</v>
      </c>
      <c r="AF12" s="50">
        <v>68</v>
      </c>
      <c r="AG12" s="50">
        <v>64</v>
      </c>
      <c r="AH12" s="202">
        <v>76</v>
      </c>
      <c r="AI12" s="203">
        <v>86</v>
      </c>
      <c r="AJ12" s="203"/>
      <c r="AK12" s="204"/>
      <c r="AL12" s="204"/>
      <c r="AM12" s="204"/>
      <c r="AN12" s="1022">
        <f t="shared" ref="AN12:AN25" si="3">SUM(B12:AL12)</f>
        <v>979</v>
      </c>
      <c r="AO12" s="359"/>
      <c r="AP12" s="359"/>
      <c r="AQ12" s="359"/>
    </row>
    <row r="13" spans="1:58" ht="19.149999999999999" customHeight="1" x14ac:dyDescent="0.2">
      <c r="A13" s="969" t="s">
        <v>476</v>
      </c>
      <c r="B13" s="271"/>
      <c r="C13" s="271"/>
      <c r="D13" s="271"/>
      <c r="E13" s="271"/>
      <c r="F13" s="271"/>
      <c r="G13" s="271"/>
      <c r="H13" s="271"/>
      <c r="I13" s="271"/>
      <c r="J13" s="50"/>
      <c r="K13" s="50"/>
      <c r="L13" s="50">
        <v>31</v>
      </c>
      <c r="M13" s="50">
        <v>45</v>
      </c>
      <c r="N13" s="50">
        <v>52</v>
      </c>
      <c r="O13" s="50">
        <v>61</v>
      </c>
      <c r="P13" s="50">
        <v>59</v>
      </c>
      <c r="Q13" s="50">
        <v>58</v>
      </c>
      <c r="R13" s="50">
        <v>49</v>
      </c>
      <c r="S13" s="50">
        <v>52</v>
      </c>
      <c r="T13" s="50">
        <v>56</v>
      </c>
      <c r="U13" s="50"/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/>
      <c r="AC13" s="50"/>
      <c r="AD13" s="50"/>
      <c r="AE13" s="50"/>
      <c r="AF13" s="50"/>
      <c r="AG13" s="50"/>
      <c r="AH13" s="202"/>
      <c r="AI13" s="203"/>
      <c r="AJ13" s="203"/>
      <c r="AK13" s="204"/>
      <c r="AL13" s="204"/>
      <c r="AM13" s="204"/>
      <c r="AN13" s="1022">
        <f t="shared" si="3"/>
        <v>463</v>
      </c>
      <c r="AO13" s="359"/>
      <c r="AP13" s="359"/>
      <c r="AQ13" s="359"/>
    </row>
    <row r="14" spans="1:58" ht="19.149999999999999" customHeight="1" x14ac:dyDescent="0.2">
      <c r="A14" s="969" t="s">
        <v>477</v>
      </c>
      <c r="B14" s="271"/>
      <c r="C14" s="271"/>
      <c r="D14" s="271"/>
      <c r="E14" s="271"/>
      <c r="F14" s="271"/>
      <c r="G14" s="271"/>
      <c r="H14" s="271"/>
      <c r="I14" s="271"/>
      <c r="J14" s="50"/>
      <c r="K14" s="50"/>
      <c r="L14" s="50"/>
      <c r="M14" s="50"/>
      <c r="N14" s="50">
        <v>808</v>
      </c>
      <c r="O14" s="50">
        <v>1311</v>
      </c>
      <c r="P14" s="50">
        <v>2851</v>
      </c>
      <c r="Q14" s="50">
        <v>2426</v>
      </c>
      <c r="R14" s="50">
        <v>692</v>
      </c>
      <c r="S14" s="50">
        <v>545</v>
      </c>
      <c r="T14" s="50">
        <v>561</v>
      </c>
      <c r="U14" s="50">
        <v>563</v>
      </c>
      <c r="V14" s="50">
        <v>653</v>
      </c>
      <c r="W14" s="50">
        <v>722</v>
      </c>
      <c r="X14" s="50">
        <v>639</v>
      </c>
      <c r="Y14" s="50">
        <v>494</v>
      </c>
      <c r="Z14" s="50">
        <v>360</v>
      </c>
      <c r="AA14" s="50">
        <v>212</v>
      </c>
      <c r="AB14" s="50">
        <v>214</v>
      </c>
      <c r="AC14" s="50">
        <v>267</v>
      </c>
      <c r="AD14" s="50">
        <v>225</v>
      </c>
      <c r="AE14" s="50">
        <v>274</v>
      </c>
      <c r="AF14" s="50">
        <v>361</v>
      </c>
      <c r="AG14" s="50">
        <v>418</v>
      </c>
      <c r="AH14" s="202">
        <v>320</v>
      </c>
      <c r="AI14" s="203">
        <v>330</v>
      </c>
      <c r="AJ14" s="203"/>
      <c r="AK14" s="204"/>
      <c r="AL14" s="204"/>
      <c r="AM14" s="204"/>
      <c r="AN14" s="1022">
        <f t="shared" si="3"/>
        <v>15246</v>
      </c>
      <c r="AO14" s="359"/>
      <c r="AP14" s="359"/>
      <c r="AQ14" s="359"/>
    </row>
    <row r="15" spans="1:58" ht="19.149999999999999" customHeight="1" x14ac:dyDescent="0.2">
      <c r="A15" s="969" t="s">
        <v>478</v>
      </c>
      <c r="B15" s="271"/>
      <c r="C15" s="271"/>
      <c r="D15" s="271"/>
      <c r="E15" s="271"/>
      <c r="F15" s="271"/>
      <c r="G15" s="271"/>
      <c r="H15" s="271"/>
      <c r="I15" s="271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>
        <v>38</v>
      </c>
      <c r="AA15" s="50"/>
      <c r="AB15" s="50"/>
      <c r="AC15" s="50"/>
      <c r="AD15" s="50"/>
      <c r="AE15" s="50"/>
      <c r="AF15" s="50"/>
      <c r="AG15" s="50"/>
      <c r="AH15" s="202"/>
      <c r="AI15" s="203"/>
      <c r="AJ15" s="203"/>
      <c r="AK15" s="204"/>
      <c r="AL15" s="204"/>
      <c r="AM15" s="204"/>
      <c r="AN15" s="1022">
        <f t="shared" si="3"/>
        <v>38</v>
      </c>
      <c r="AO15" s="359"/>
      <c r="AP15" s="359"/>
      <c r="AQ15" s="359"/>
    </row>
    <row r="16" spans="1:58" ht="19.149999999999999" customHeight="1" x14ac:dyDescent="0.2">
      <c r="A16" s="969" t="s">
        <v>479</v>
      </c>
      <c r="B16" s="271"/>
      <c r="C16" s="271"/>
      <c r="D16" s="271"/>
      <c r="E16" s="271"/>
      <c r="F16" s="271"/>
      <c r="G16" s="271"/>
      <c r="H16" s="271"/>
      <c r="I16" s="271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>
        <v>1</v>
      </c>
      <c r="AB16" s="50">
        <v>9</v>
      </c>
      <c r="AC16" s="50">
        <v>74</v>
      </c>
      <c r="AD16" s="50">
        <v>45</v>
      </c>
      <c r="AE16" s="50">
        <v>92</v>
      </c>
      <c r="AF16" s="50">
        <v>114</v>
      </c>
      <c r="AG16" s="50">
        <v>90</v>
      </c>
      <c r="AH16" s="202">
        <v>64</v>
      </c>
      <c r="AI16" s="203">
        <v>87</v>
      </c>
      <c r="AJ16" s="203"/>
      <c r="AK16" s="204"/>
      <c r="AL16" s="204"/>
      <c r="AM16" s="204"/>
      <c r="AN16" s="1022">
        <f t="shared" si="3"/>
        <v>576</v>
      </c>
      <c r="AO16" s="359"/>
      <c r="AP16" s="359"/>
      <c r="AQ16" s="359"/>
    </row>
    <row r="17" spans="1:43" ht="19.149999999999999" customHeight="1" x14ac:dyDescent="0.2">
      <c r="A17" s="969" t="s">
        <v>480</v>
      </c>
      <c r="B17" s="271"/>
      <c r="C17" s="271"/>
      <c r="D17" s="271"/>
      <c r="E17" s="271"/>
      <c r="F17" s="271"/>
      <c r="G17" s="271"/>
      <c r="H17" s="271"/>
      <c r="I17" s="271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>
        <v>32</v>
      </c>
      <c r="AB17" s="50">
        <v>44</v>
      </c>
      <c r="AC17" s="50">
        <v>46</v>
      </c>
      <c r="AD17" s="50">
        <v>20</v>
      </c>
      <c r="AE17" s="50">
        <v>24</v>
      </c>
      <c r="AF17" s="50">
        <v>28</v>
      </c>
      <c r="AG17" s="50">
        <v>47</v>
      </c>
      <c r="AH17" s="202">
        <v>49</v>
      </c>
      <c r="AI17" s="203">
        <v>54</v>
      </c>
      <c r="AJ17" s="203"/>
      <c r="AK17" s="204"/>
      <c r="AL17" s="204"/>
      <c r="AM17" s="204"/>
      <c r="AN17" s="1022">
        <f t="shared" si="3"/>
        <v>344</v>
      </c>
      <c r="AO17" s="359"/>
      <c r="AP17" s="359"/>
      <c r="AQ17" s="359"/>
    </row>
    <row r="18" spans="1:43" ht="19.149999999999999" customHeight="1" thickBot="1" x14ac:dyDescent="0.25">
      <c r="A18" s="972" t="s">
        <v>481</v>
      </c>
      <c r="B18" s="278"/>
      <c r="C18" s="278"/>
      <c r="D18" s="278"/>
      <c r="E18" s="278"/>
      <c r="F18" s="278"/>
      <c r="G18" s="278"/>
      <c r="H18" s="278"/>
      <c r="I18" s="278"/>
      <c r="J18" s="177"/>
      <c r="K18" s="177"/>
      <c r="L18" s="177"/>
      <c r="M18" s="177"/>
      <c r="N18" s="177"/>
      <c r="O18" s="177"/>
      <c r="P18" s="177"/>
      <c r="Q18" s="177">
        <v>8</v>
      </c>
      <c r="R18" s="177">
        <v>8</v>
      </c>
      <c r="S18" s="177">
        <v>28</v>
      </c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211"/>
      <c r="AI18" s="200"/>
      <c r="AJ18" s="200"/>
      <c r="AK18" s="822"/>
      <c r="AL18" s="822"/>
      <c r="AM18" s="822"/>
      <c r="AN18" s="1023">
        <f t="shared" si="3"/>
        <v>44</v>
      </c>
      <c r="AO18" s="359"/>
      <c r="AP18" s="359"/>
      <c r="AQ18" s="359"/>
    </row>
    <row r="19" spans="1:43" ht="19.149999999999999" customHeight="1" thickTop="1" x14ac:dyDescent="0.2">
      <c r="A19" s="1024" t="s">
        <v>140</v>
      </c>
      <c r="B19" s="269"/>
      <c r="C19" s="269"/>
      <c r="D19" s="269"/>
      <c r="E19" s="269"/>
      <c r="F19" s="269"/>
      <c r="G19" s="269"/>
      <c r="H19" s="269"/>
      <c r="I19" s="269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3">
        <v>16</v>
      </c>
      <c r="AC19" s="122">
        <v>13</v>
      </c>
      <c r="AD19" s="122">
        <v>18</v>
      </c>
      <c r="AE19" s="122">
        <v>9</v>
      </c>
      <c r="AF19" s="122">
        <v>2</v>
      </c>
      <c r="AG19" s="122">
        <v>8</v>
      </c>
      <c r="AH19" s="123">
        <v>10</v>
      </c>
      <c r="AI19" s="197">
        <v>1</v>
      </c>
      <c r="AJ19" s="197"/>
      <c r="AK19" s="198">
        <v>0</v>
      </c>
      <c r="AL19" s="198"/>
      <c r="AM19" s="198"/>
      <c r="AN19" s="199">
        <f t="shared" si="3"/>
        <v>77</v>
      </c>
      <c r="AO19" s="110"/>
      <c r="AP19" s="110"/>
      <c r="AQ19" s="110"/>
    </row>
    <row r="20" spans="1:43" ht="19.149999999999999" customHeight="1" x14ac:dyDescent="0.2">
      <c r="A20" s="1014" t="s">
        <v>141</v>
      </c>
      <c r="B20" s="269"/>
      <c r="C20" s="269"/>
      <c r="D20" s="269"/>
      <c r="E20" s="269"/>
      <c r="F20" s="269"/>
      <c r="G20" s="269"/>
      <c r="H20" s="269"/>
      <c r="I20" s="269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3">
        <v>8</v>
      </c>
      <c r="AC20" s="50">
        <v>9</v>
      </c>
      <c r="AD20" s="50">
        <v>6</v>
      </c>
      <c r="AE20" s="50">
        <v>8</v>
      </c>
      <c r="AF20" s="50">
        <v>29</v>
      </c>
      <c r="AG20" s="50">
        <v>16</v>
      </c>
      <c r="AH20" s="123">
        <v>15</v>
      </c>
      <c r="AI20" s="197">
        <v>84</v>
      </c>
      <c r="AJ20" s="197"/>
      <c r="AK20" s="198">
        <v>0</v>
      </c>
      <c r="AL20" s="198"/>
      <c r="AM20" s="198"/>
      <c r="AN20" s="199">
        <f t="shared" si="3"/>
        <v>175</v>
      </c>
      <c r="AO20" s="110"/>
      <c r="AP20" s="110"/>
      <c r="AQ20" s="110"/>
    </row>
    <row r="21" spans="1:43" ht="19.149999999999999" customHeight="1" x14ac:dyDescent="0.2">
      <c r="A21" s="1014" t="s">
        <v>482</v>
      </c>
      <c r="B21" s="270"/>
      <c r="C21" s="270"/>
      <c r="D21" s="270"/>
      <c r="E21" s="270"/>
      <c r="F21" s="270"/>
      <c r="G21" s="270"/>
      <c r="H21" s="270"/>
      <c r="I21" s="271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50">
        <v>40</v>
      </c>
      <c r="AG21" s="50">
        <v>88</v>
      </c>
      <c r="AH21" s="123">
        <v>92</v>
      </c>
      <c r="AI21" s="197">
        <v>117</v>
      </c>
      <c r="AJ21" s="197"/>
      <c r="AK21" s="198">
        <v>0</v>
      </c>
      <c r="AL21" s="198"/>
      <c r="AM21" s="198"/>
      <c r="AN21" s="199">
        <f t="shared" si="3"/>
        <v>337</v>
      </c>
      <c r="AO21" s="110"/>
      <c r="AP21" s="110"/>
      <c r="AQ21" s="110"/>
    </row>
    <row r="22" spans="1:43" ht="19.149999999999999" customHeight="1" x14ac:dyDescent="0.2">
      <c r="A22" s="1014" t="s">
        <v>483</v>
      </c>
      <c r="B22" s="269"/>
      <c r="C22" s="269"/>
      <c r="D22" s="269"/>
      <c r="E22" s="269"/>
      <c r="F22" s="269"/>
      <c r="G22" s="269"/>
      <c r="H22" s="269"/>
      <c r="I22" s="269"/>
      <c r="J22" s="205"/>
      <c r="K22" s="205"/>
      <c r="L22" s="205"/>
      <c r="M22" s="205"/>
      <c r="N22" s="205">
        <v>88</v>
      </c>
      <c r="O22" s="205">
        <v>425</v>
      </c>
      <c r="P22" s="205">
        <v>443</v>
      </c>
      <c r="Q22" s="205">
        <v>13</v>
      </c>
      <c r="R22" s="205">
        <v>1</v>
      </c>
      <c r="S22" s="205"/>
      <c r="T22" s="205"/>
      <c r="U22" s="205"/>
      <c r="V22" s="205">
        <v>0</v>
      </c>
      <c r="W22" s="205" t="s">
        <v>484</v>
      </c>
      <c r="X22" s="205" t="s">
        <v>484</v>
      </c>
      <c r="Y22" s="122"/>
      <c r="Z22" s="122"/>
      <c r="AA22" s="122"/>
      <c r="AB22" s="123"/>
      <c r="AC22" s="50"/>
      <c r="AD22" s="50"/>
      <c r="AE22" s="50"/>
      <c r="AF22" s="50"/>
      <c r="AG22" s="50"/>
      <c r="AH22" s="272"/>
      <c r="AI22" s="197"/>
      <c r="AJ22" s="197"/>
      <c r="AK22" s="198"/>
      <c r="AL22" s="198"/>
      <c r="AM22" s="198"/>
      <c r="AN22" s="199">
        <f t="shared" si="3"/>
        <v>970</v>
      </c>
      <c r="AO22" s="110"/>
      <c r="AP22" s="110"/>
      <c r="AQ22" s="110"/>
    </row>
    <row r="23" spans="1:43" ht="19.149999999999999" customHeight="1" x14ac:dyDescent="0.2">
      <c r="A23" s="962" t="s">
        <v>485</v>
      </c>
      <c r="B23" s="269"/>
      <c r="C23" s="269"/>
      <c r="D23" s="269"/>
      <c r="E23" s="269"/>
      <c r="F23" s="269"/>
      <c r="G23" s="269"/>
      <c r="H23" s="269"/>
      <c r="I23" s="269"/>
      <c r="J23" s="205"/>
      <c r="K23" s="205"/>
      <c r="L23" s="205"/>
      <c r="M23" s="205"/>
      <c r="N23" s="205"/>
      <c r="O23" s="205">
        <v>18</v>
      </c>
      <c r="P23" s="205">
        <v>13</v>
      </c>
      <c r="Q23" s="205">
        <v>6</v>
      </c>
      <c r="R23" s="205">
        <v>3</v>
      </c>
      <c r="S23" s="205">
        <v>3</v>
      </c>
      <c r="T23" s="205">
        <v>4</v>
      </c>
      <c r="U23" s="205">
        <v>1</v>
      </c>
      <c r="V23" s="205" t="s">
        <v>484</v>
      </c>
      <c r="W23" s="205" t="s">
        <v>484</v>
      </c>
      <c r="X23" s="205" t="s">
        <v>484</v>
      </c>
      <c r="Y23" s="122"/>
      <c r="Z23" s="122"/>
      <c r="AA23" s="122"/>
      <c r="AB23" s="123"/>
      <c r="AC23" s="50"/>
      <c r="AD23" s="50"/>
      <c r="AE23" s="50"/>
      <c r="AF23" s="50"/>
      <c r="AG23" s="50"/>
      <c r="AH23" s="272"/>
      <c r="AI23" s="197"/>
      <c r="AJ23" s="197"/>
      <c r="AK23" s="198"/>
      <c r="AL23" s="198"/>
      <c r="AM23" s="198"/>
      <c r="AN23" s="199">
        <f t="shared" si="3"/>
        <v>48</v>
      </c>
      <c r="AO23" s="110"/>
      <c r="AP23" s="110"/>
      <c r="AQ23" s="110"/>
    </row>
    <row r="24" spans="1:43" ht="19.149999999999999" customHeight="1" x14ac:dyDescent="0.2">
      <c r="A24" s="1014" t="s">
        <v>486</v>
      </c>
      <c r="B24" s="50">
        <v>4776</v>
      </c>
      <c r="C24" s="50">
        <v>61943</v>
      </c>
      <c r="D24" s="50">
        <v>64408</v>
      </c>
      <c r="E24" s="50">
        <v>57295</v>
      </c>
      <c r="F24" s="50">
        <v>45195</v>
      </c>
      <c r="G24" s="50">
        <v>22222</v>
      </c>
      <c r="H24" s="50">
        <v>14069</v>
      </c>
      <c r="I24" s="50">
        <v>11835</v>
      </c>
      <c r="J24" s="206">
        <v>5642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3"/>
      <c r="AC24" s="50"/>
      <c r="AD24" s="50"/>
      <c r="AE24" s="50"/>
      <c r="AF24" s="50"/>
      <c r="AG24" s="50"/>
      <c r="AH24" s="272"/>
      <c r="AI24" s="197"/>
      <c r="AJ24" s="197"/>
      <c r="AK24" s="198"/>
      <c r="AL24" s="198"/>
      <c r="AM24" s="198"/>
      <c r="AN24" s="207">
        <f t="shared" si="3"/>
        <v>287385</v>
      </c>
      <c r="AO24" s="110"/>
      <c r="AP24" s="110"/>
      <c r="AQ24" s="110"/>
    </row>
    <row r="25" spans="1:43" ht="19.149999999999999" customHeight="1" thickBot="1" x14ac:dyDescent="0.25">
      <c r="A25" s="1025" t="s">
        <v>487</v>
      </c>
      <c r="B25" s="176">
        <v>679</v>
      </c>
      <c r="C25" s="176">
        <v>1467</v>
      </c>
      <c r="D25" s="176">
        <v>1289</v>
      </c>
      <c r="E25" s="176">
        <v>972</v>
      </c>
      <c r="F25" s="176">
        <v>785</v>
      </c>
      <c r="G25" s="176">
        <v>912</v>
      </c>
      <c r="H25" s="176">
        <v>890</v>
      </c>
      <c r="I25" s="176">
        <v>522</v>
      </c>
      <c r="J25" s="176">
        <v>401</v>
      </c>
      <c r="K25" s="176">
        <v>474</v>
      </c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273"/>
      <c r="AC25" s="177"/>
      <c r="AD25" s="177"/>
      <c r="AE25" s="177"/>
      <c r="AF25" s="177"/>
      <c r="AG25" s="177"/>
      <c r="AH25" s="274"/>
      <c r="AI25" s="1026"/>
      <c r="AJ25" s="1026"/>
      <c r="AK25" s="1027"/>
      <c r="AL25" s="1027"/>
      <c r="AM25" s="1027"/>
      <c r="AN25" s="201">
        <f t="shared" si="3"/>
        <v>8391</v>
      </c>
      <c r="AO25" s="110"/>
      <c r="AP25" s="110"/>
      <c r="AQ25" s="110"/>
    </row>
    <row r="26" spans="1:43" ht="19.149999999999999" customHeight="1" thickTop="1" x14ac:dyDescent="0.2">
      <c r="A26" s="307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f>+Z7+Z8+Z9+Z10+Z19+Z20+Z21</f>
        <v>1222</v>
      </c>
      <c r="AA26" s="119">
        <f t="shared" ref="AA26:AN26" si="4">+AA7+AA8+AA9+AA10+AA19+AA20+AA21</f>
        <v>824</v>
      </c>
      <c r="AB26" s="119">
        <f t="shared" si="4"/>
        <v>1258</v>
      </c>
      <c r="AC26" s="119">
        <f t="shared" si="4"/>
        <v>2004</v>
      </c>
      <c r="AD26" s="119">
        <f t="shared" si="4"/>
        <v>2190</v>
      </c>
      <c r="AE26" s="119">
        <f t="shared" si="4"/>
        <v>3099</v>
      </c>
      <c r="AF26" s="119">
        <f t="shared" si="4"/>
        <v>4581</v>
      </c>
      <c r="AG26" s="119">
        <f t="shared" si="4"/>
        <v>4382</v>
      </c>
      <c r="AH26" s="119">
        <f t="shared" si="4"/>
        <v>3003</v>
      </c>
      <c r="AI26" s="119">
        <f t="shared" si="4"/>
        <v>2591</v>
      </c>
      <c r="AJ26" s="119">
        <f t="shared" si="4"/>
        <v>564</v>
      </c>
      <c r="AK26" s="119">
        <f t="shared" si="4"/>
        <v>716</v>
      </c>
      <c r="AL26" s="119">
        <f t="shared" si="4"/>
        <v>681</v>
      </c>
      <c r="AM26" s="119"/>
      <c r="AN26" s="119">
        <f t="shared" si="4"/>
        <v>63820</v>
      </c>
      <c r="AO26" s="110"/>
      <c r="AP26" s="110"/>
      <c r="AQ26" s="110"/>
    </row>
    <row r="27" spans="1:43" ht="24.95" customHeight="1" thickBot="1" x14ac:dyDescent="0.25">
      <c r="M27" s="1028"/>
      <c r="N27" s="1028"/>
      <c r="O27" s="1028"/>
      <c r="P27" s="1028"/>
      <c r="Q27" s="1028"/>
      <c r="W27" s="1029"/>
      <c r="X27" s="1029"/>
      <c r="Y27" s="1029"/>
      <c r="Z27" s="1029"/>
      <c r="AA27" s="1029"/>
      <c r="AB27" s="1029"/>
      <c r="AC27" s="1029"/>
      <c r="AD27" s="1029"/>
      <c r="AE27" s="1029"/>
      <c r="AF27" s="1029"/>
      <c r="AG27" s="1029"/>
      <c r="AH27" s="1029"/>
      <c r="AI27" s="1030"/>
      <c r="AJ27" s="1030"/>
      <c r="AK27" s="1029"/>
      <c r="AL27" s="1029"/>
      <c r="AM27" s="1029"/>
      <c r="AN27" s="119"/>
      <c r="AO27" s="119"/>
      <c r="AP27" s="119"/>
      <c r="AQ27" s="119"/>
    </row>
    <row r="28" spans="1:43" ht="13.5" thickTop="1" x14ac:dyDescent="0.2">
      <c r="A28" s="1031" t="s">
        <v>468</v>
      </c>
      <c r="B28" s="1032">
        <v>1981</v>
      </c>
      <c r="C28" s="1032">
        <v>1982</v>
      </c>
      <c r="D28" s="1032">
        <v>1983</v>
      </c>
      <c r="E28" s="1032">
        <v>1984</v>
      </c>
      <c r="F28" s="1032">
        <v>1985</v>
      </c>
      <c r="G28" s="1032">
        <v>1986</v>
      </c>
      <c r="H28" s="1032">
        <v>1987</v>
      </c>
      <c r="I28" s="1032">
        <v>1988</v>
      </c>
      <c r="J28" s="1032">
        <v>1989</v>
      </c>
      <c r="K28" s="1032" t="s">
        <v>35</v>
      </c>
      <c r="L28" s="1032" t="s">
        <v>36</v>
      </c>
      <c r="M28" s="1032">
        <v>1992</v>
      </c>
      <c r="N28" s="1032">
        <v>1993</v>
      </c>
      <c r="O28" s="1032">
        <v>1994</v>
      </c>
      <c r="P28" s="1032">
        <v>1995</v>
      </c>
      <c r="Q28" s="1032">
        <v>1996</v>
      </c>
      <c r="R28" s="1032">
        <v>1997</v>
      </c>
      <c r="S28" s="1033">
        <v>1998</v>
      </c>
      <c r="T28" s="1033">
        <v>1999</v>
      </c>
      <c r="U28" s="1034">
        <v>2000</v>
      </c>
      <c r="V28" s="1035">
        <v>2001</v>
      </c>
      <c r="W28" s="1035">
        <v>2002</v>
      </c>
      <c r="X28" s="1035">
        <v>2003</v>
      </c>
      <c r="Y28" s="1035">
        <v>2004</v>
      </c>
      <c r="Z28" s="1035">
        <v>2005</v>
      </c>
      <c r="AA28" s="1035" t="s">
        <v>116</v>
      </c>
      <c r="AB28" s="1035">
        <v>2007</v>
      </c>
      <c r="AC28" s="1035">
        <v>2008</v>
      </c>
      <c r="AD28" s="1035">
        <v>2009</v>
      </c>
      <c r="AE28" s="1035">
        <v>2010</v>
      </c>
      <c r="AF28" s="1035">
        <v>2011</v>
      </c>
      <c r="AG28" s="1035">
        <v>2012</v>
      </c>
      <c r="AH28" s="1036">
        <v>2013</v>
      </c>
      <c r="AI28" s="1036">
        <v>2014</v>
      </c>
      <c r="AJ28" s="1036">
        <v>2015</v>
      </c>
      <c r="AK28" s="1036">
        <v>2016</v>
      </c>
      <c r="AL28" s="1036">
        <v>2017</v>
      </c>
      <c r="AM28" s="1036">
        <v>2018</v>
      </c>
      <c r="AN28" s="1037" t="s">
        <v>469</v>
      </c>
      <c r="AO28" s="1011"/>
      <c r="AP28" s="1011"/>
      <c r="AQ28" s="1011"/>
    </row>
    <row r="29" spans="1:43" ht="24.95" customHeight="1" x14ac:dyDescent="0.2">
      <c r="A29" s="1014" t="s">
        <v>488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845">
        <v>5074</v>
      </c>
      <c r="M29" s="50">
        <v>4878</v>
      </c>
      <c r="N29" s="50">
        <v>4676</v>
      </c>
      <c r="O29" s="50">
        <v>7209</v>
      </c>
      <c r="P29" s="50">
        <v>6453</v>
      </c>
      <c r="Q29" s="50">
        <v>5082</v>
      </c>
      <c r="R29" s="50">
        <v>5688</v>
      </c>
      <c r="S29" s="50">
        <v>4965</v>
      </c>
      <c r="T29" s="50">
        <v>5415</v>
      </c>
      <c r="U29" s="50">
        <v>5326</v>
      </c>
      <c r="V29" s="50">
        <v>7346</v>
      </c>
      <c r="W29" s="50">
        <v>6728</v>
      </c>
      <c r="X29" s="50">
        <v>8691</v>
      </c>
      <c r="Y29" s="50">
        <v>7590</v>
      </c>
      <c r="Z29" s="50">
        <v>8544</v>
      </c>
      <c r="AA29" s="50">
        <v>12140</v>
      </c>
      <c r="AB29" s="50">
        <v>11755</v>
      </c>
      <c r="AC29" s="50">
        <v>11598</v>
      </c>
      <c r="AD29" s="51">
        <v>12036</v>
      </c>
      <c r="AE29" s="51">
        <v>13228</v>
      </c>
      <c r="AF29" s="51">
        <v>11690</v>
      </c>
      <c r="AG29" s="51">
        <v>12089</v>
      </c>
      <c r="AH29" s="208">
        <v>12101</v>
      </c>
      <c r="AI29" s="208">
        <v>12822</v>
      </c>
      <c r="AJ29" s="208">
        <v>12253</v>
      </c>
      <c r="AK29" s="51">
        <v>12108</v>
      </c>
      <c r="AL29" s="209">
        <v>11514</v>
      </c>
      <c r="AM29" s="209">
        <v>8510</v>
      </c>
      <c r="AN29" s="1038">
        <f>SUM(B29:AK29)</f>
        <v>227485</v>
      </c>
      <c r="AO29" s="110"/>
      <c r="AP29" s="110"/>
      <c r="AQ29" s="110"/>
    </row>
    <row r="30" spans="1:43" ht="24.95" customHeight="1" x14ac:dyDescent="0.2">
      <c r="A30" s="1014" t="s">
        <v>489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845">
        <v>11</v>
      </c>
      <c r="W30" s="845">
        <v>4</v>
      </c>
      <c r="X30" s="845">
        <v>5</v>
      </c>
      <c r="Y30" s="845">
        <f>27-20</f>
        <v>7</v>
      </c>
      <c r="Z30" s="845">
        <f>35-27</f>
        <v>8</v>
      </c>
      <c r="AA30" s="845">
        <f>106-35</f>
        <v>71</v>
      </c>
      <c r="AB30" s="845">
        <f>247-106</f>
        <v>141</v>
      </c>
      <c r="AC30" s="845">
        <f>368-247</f>
        <v>121</v>
      </c>
      <c r="AD30" s="51">
        <f>463-368</f>
        <v>95</v>
      </c>
      <c r="AE30" s="51">
        <f>486-463</f>
        <v>23</v>
      </c>
      <c r="AF30" s="51">
        <f>17-9</f>
        <v>8</v>
      </c>
      <c r="AG30" s="51">
        <f>512-494</f>
        <v>18</v>
      </c>
      <c r="AH30" s="208">
        <f>520-512</f>
        <v>8</v>
      </c>
      <c r="AI30" s="208">
        <f>523-520</f>
        <v>3</v>
      </c>
      <c r="AJ30" s="208">
        <f>+AJ37-AI37</f>
        <v>13</v>
      </c>
      <c r="AK30" s="208">
        <f t="shared" ref="AK30:AM31" si="5">+AK37-AJ37</f>
        <v>13</v>
      </c>
      <c r="AL30" s="208">
        <f t="shared" si="5"/>
        <v>17</v>
      </c>
      <c r="AM30" s="209">
        <f t="shared" si="5"/>
        <v>38</v>
      </c>
      <c r="AN30" s="1038">
        <f>SUM(B30:AK30)</f>
        <v>549</v>
      </c>
      <c r="AO30" s="110"/>
      <c r="AP30" s="110"/>
      <c r="AQ30" s="110"/>
    </row>
    <row r="31" spans="1:43" ht="24.95" customHeight="1" x14ac:dyDescent="0.2">
      <c r="A31" s="1014" t="s">
        <v>490</v>
      </c>
      <c r="B31" s="270"/>
      <c r="C31" s="270"/>
      <c r="D31" s="270"/>
      <c r="E31" s="270"/>
      <c r="F31" s="270"/>
      <c r="G31" s="270"/>
      <c r="H31" s="270"/>
      <c r="I31" s="270"/>
      <c r="J31" s="270"/>
      <c r="K31" s="845">
        <v>75</v>
      </c>
      <c r="L31" s="845">
        <v>17</v>
      </c>
      <c r="M31" s="50">
        <v>113</v>
      </c>
      <c r="N31" s="50">
        <v>107</v>
      </c>
      <c r="O31" s="50">
        <v>53</v>
      </c>
      <c r="P31" s="50">
        <v>88</v>
      </c>
      <c r="Q31" s="50">
        <v>43</v>
      </c>
      <c r="R31" s="845">
        <v>10</v>
      </c>
      <c r="S31" s="845">
        <v>2</v>
      </c>
      <c r="T31" s="845">
        <v>0</v>
      </c>
      <c r="U31" s="845">
        <v>8</v>
      </c>
      <c r="V31" s="845">
        <v>-1</v>
      </c>
      <c r="W31" s="845">
        <v>-1</v>
      </c>
      <c r="X31" s="845">
        <v>-4</v>
      </c>
      <c r="Y31" s="845">
        <f>509-510</f>
        <v>-1</v>
      </c>
      <c r="Z31" s="845">
        <f>509-509</f>
        <v>0</v>
      </c>
      <c r="AA31" s="845">
        <f>500-509</f>
        <v>-9</v>
      </c>
      <c r="AB31" s="845">
        <v>0</v>
      </c>
      <c r="AC31" s="845">
        <f>493-500</f>
        <v>-7</v>
      </c>
      <c r="AD31" s="51">
        <f>490-493</f>
        <v>-3</v>
      </c>
      <c r="AE31" s="51">
        <f>474-490</f>
        <v>-16</v>
      </c>
      <c r="AF31" s="51">
        <v>-25</v>
      </c>
      <c r="AG31" s="51">
        <f>445-449</f>
        <v>-4</v>
      </c>
      <c r="AH31" s="208">
        <f>436-445</f>
        <v>-9</v>
      </c>
      <c r="AI31" s="208">
        <f>360-436</f>
        <v>-76</v>
      </c>
      <c r="AJ31" s="208">
        <f>+AJ38-AI38</f>
        <v>-3</v>
      </c>
      <c r="AK31" s="208">
        <f t="shared" si="5"/>
        <v>-4</v>
      </c>
      <c r="AL31" s="208">
        <f t="shared" si="5"/>
        <v>-10</v>
      </c>
      <c r="AM31" s="209">
        <f t="shared" si="5"/>
        <v>-6</v>
      </c>
      <c r="AN31" s="1038">
        <f>SUM(B31:AK31)</f>
        <v>353</v>
      </c>
      <c r="AO31" s="110"/>
      <c r="AP31" s="110"/>
      <c r="AQ31" s="110"/>
    </row>
    <row r="32" spans="1:43" ht="24.95" customHeight="1" thickBot="1" x14ac:dyDescent="0.25">
      <c r="A32" s="1039" t="s">
        <v>491</v>
      </c>
      <c r="B32" s="1040"/>
      <c r="C32" s="1040"/>
      <c r="D32" s="1040"/>
      <c r="E32" s="1040"/>
      <c r="F32" s="1040"/>
      <c r="G32" s="1040"/>
      <c r="H32" s="1040"/>
      <c r="I32" s="1040"/>
      <c r="J32" s="1040"/>
      <c r="K32" s="1040"/>
      <c r="L32" s="1040"/>
      <c r="M32" s="1040"/>
      <c r="N32" s="1040"/>
      <c r="O32" s="1040"/>
      <c r="P32" s="1040"/>
      <c r="Q32" s="177">
        <v>3515</v>
      </c>
      <c r="R32" s="1041">
        <v>3535</v>
      </c>
      <c r="S32" s="1041">
        <v>2231</v>
      </c>
      <c r="T32" s="1041">
        <v>1951</v>
      </c>
      <c r="U32" s="1041">
        <v>3053</v>
      </c>
      <c r="V32" s="1041">
        <v>1379</v>
      </c>
      <c r="W32" s="1041">
        <f>15784-15664</f>
        <v>120</v>
      </c>
      <c r="X32" s="177">
        <f>16963-15784</f>
        <v>1179</v>
      </c>
      <c r="Y32" s="1041">
        <f>17730-16963</f>
        <v>767</v>
      </c>
      <c r="Z32" s="1041">
        <f>18315-17730</f>
        <v>585</v>
      </c>
      <c r="AA32" s="1041">
        <f>19206-18315</f>
        <v>891</v>
      </c>
      <c r="AB32" s="1041">
        <f>19911-19206</f>
        <v>705</v>
      </c>
      <c r="AC32" s="1041">
        <f>20157-19911</f>
        <v>246</v>
      </c>
      <c r="AD32" s="210">
        <f>20416-20157</f>
        <v>259</v>
      </c>
      <c r="AE32" s="210">
        <f>20345-20416</f>
        <v>-71</v>
      </c>
      <c r="AF32" s="210">
        <v>-112</v>
      </c>
      <c r="AG32" s="210">
        <f>20908-20233</f>
        <v>675</v>
      </c>
      <c r="AH32" s="211">
        <f>21623-20908</f>
        <v>715</v>
      </c>
      <c r="AI32" s="211">
        <f>21162-21623</f>
        <v>-461</v>
      </c>
      <c r="AJ32" s="211">
        <f>AJ39-AI39</f>
        <v>-63</v>
      </c>
      <c r="AK32" s="210">
        <f>AK39-AJ39</f>
        <v>-175</v>
      </c>
      <c r="AL32" s="210">
        <f>AL39-AK39</f>
        <v>-262</v>
      </c>
      <c r="AM32" s="212">
        <f>AM39-AL39</f>
        <v>-265</v>
      </c>
      <c r="AN32" s="1042">
        <f>SUM(B32:AK32)</f>
        <v>20924</v>
      </c>
      <c r="AO32" s="110"/>
      <c r="AP32" s="110"/>
      <c r="AQ32" s="110"/>
    </row>
    <row r="33" spans="1:43" ht="13.5" thickTop="1" x14ac:dyDescent="0.2">
      <c r="A33" s="1043"/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657"/>
      <c r="AO33" s="657"/>
      <c r="AP33" s="657"/>
      <c r="AQ33" s="657"/>
    </row>
    <row r="34" spans="1:43" ht="10.15" customHeight="1" x14ac:dyDescent="0.2">
      <c r="M34" s="1028"/>
      <c r="N34" s="1028"/>
      <c r="O34" s="1028"/>
      <c r="P34" s="1028"/>
      <c r="Q34" s="1028"/>
      <c r="W34" s="1029"/>
      <c r="X34" s="1029"/>
      <c r="Y34" s="1029"/>
      <c r="Z34" s="1029"/>
      <c r="AA34" s="1029"/>
      <c r="AB34" s="1029"/>
      <c r="AC34" s="1029"/>
      <c r="AD34" s="1029"/>
      <c r="AE34" s="1029"/>
      <c r="AF34" s="1029"/>
      <c r="AG34" s="1029"/>
      <c r="AH34" s="1029"/>
      <c r="AI34" s="1029"/>
      <c r="AJ34" s="1029"/>
      <c r="AK34" s="1029"/>
      <c r="AL34" s="1029"/>
      <c r="AM34" s="1029"/>
      <c r="AN34" s="119"/>
      <c r="AO34" s="119"/>
      <c r="AP34" s="119"/>
      <c r="AQ34" s="119"/>
    </row>
    <row r="35" spans="1:43" ht="13.5" thickBot="1" x14ac:dyDescent="0.25"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</row>
    <row r="36" spans="1:43" ht="13.5" thickTop="1" x14ac:dyDescent="0.2">
      <c r="A36" s="1031" t="s">
        <v>468</v>
      </c>
      <c r="B36" s="1032">
        <v>1981</v>
      </c>
      <c r="C36" s="1032">
        <v>1982</v>
      </c>
      <c r="D36" s="1032">
        <v>1983</v>
      </c>
      <c r="E36" s="1032">
        <v>1984</v>
      </c>
      <c r="F36" s="1032">
        <v>1985</v>
      </c>
      <c r="G36" s="1032">
        <v>1986</v>
      </c>
      <c r="H36" s="1032">
        <v>1987</v>
      </c>
      <c r="I36" s="1032">
        <v>1988</v>
      </c>
      <c r="J36" s="1032">
        <v>1989</v>
      </c>
      <c r="K36" s="1032" t="s">
        <v>35</v>
      </c>
      <c r="L36" s="1032" t="s">
        <v>36</v>
      </c>
      <c r="M36" s="1032">
        <v>1992</v>
      </c>
      <c r="N36" s="1032">
        <v>1993</v>
      </c>
      <c r="O36" s="1032">
        <v>1994</v>
      </c>
      <c r="P36" s="1032">
        <v>1995</v>
      </c>
      <c r="Q36" s="1032">
        <v>1996</v>
      </c>
      <c r="R36" s="1032">
        <v>1997</v>
      </c>
      <c r="S36" s="1033">
        <v>1998</v>
      </c>
      <c r="T36" s="1033">
        <v>1999</v>
      </c>
      <c r="U36" s="1034">
        <v>2000</v>
      </c>
      <c r="V36" s="1035">
        <v>2001</v>
      </c>
      <c r="W36" s="1035">
        <v>2002</v>
      </c>
      <c r="X36" s="1035">
        <v>2003</v>
      </c>
      <c r="Y36" s="1035">
        <v>2004</v>
      </c>
      <c r="Z36" s="1035">
        <v>2005</v>
      </c>
      <c r="AA36" s="1035" t="s">
        <v>116</v>
      </c>
      <c r="AB36" s="1035">
        <v>2007</v>
      </c>
      <c r="AC36" s="1035">
        <v>2008</v>
      </c>
      <c r="AD36" s="1035">
        <v>2009</v>
      </c>
      <c r="AE36" s="1035">
        <v>2010</v>
      </c>
      <c r="AF36" s="1035">
        <v>2011</v>
      </c>
      <c r="AG36" s="1035">
        <v>2012</v>
      </c>
      <c r="AH36" s="1036">
        <v>2013</v>
      </c>
      <c r="AI36" s="1036">
        <v>2014</v>
      </c>
      <c r="AJ36" s="1036">
        <v>2015</v>
      </c>
      <c r="AK36" s="1036">
        <v>2016</v>
      </c>
      <c r="AL36" s="1036">
        <v>2017</v>
      </c>
      <c r="AM36" s="1036">
        <v>2018</v>
      </c>
      <c r="AN36" s="1036"/>
      <c r="AO36" s="411"/>
      <c r="AP36" s="411"/>
      <c r="AQ36" s="411"/>
    </row>
    <row r="37" spans="1:43" x14ac:dyDescent="0.2">
      <c r="A37" s="1014" t="s">
        <v>221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845"/>
      <c r="W37" s="845"/>
      <c r="X37" s="845">
        <v>20</v>
      </c>
      <c r="Y37" s="845">
        <v>27</v>
      </c>
      <c r="Z37" s="845">
        <v>35</v>
      </c>
      <c r="AA37" s="845">
        <v>106</v>
      </c>
      <c r="AB37" s="845">
        <v>247</v>
      </c>
      <c r="AC37" s="845">
        <v>368</v>
      </c>
      <c r="AD37" s="845">
        <v>463</v>
      </c>
      <c r="AE37" s="845">
        <v>486</v>
      </c>
      <c r="AF37" s="845">
        <v>494</v>
      </c>
      <c r="AG37" s="845">
        <f>512</f>
        <v>512</v>
      </c>
      <c r="AH37" s="845">
        <f>520</f>
        <v>520</v>
      </c>
      <c r="AI37" s="845">
        <v>523</v>
      </c>
      <c r="AJ37" s="845">
        <v>536</v>
      </c>
      <c r="AK37" s="845">
        <v>549</v>
      </c>
      <c r="AL37" s="845">
        <v>566</v>
      </c>
      <c r="AM37" s="845">
        <v>604</v>
      </c>
      <c r="AN37" s="203"/>
    </row>
    <row r="38" spans="1:43" x14ac:dyDescent="0.2">
      <c r="A38" s="1014" t="s">
        <v>235</v>
      </c>
      <c r="B38" s="270"/>
      <c r="C38" s="270"/>
      <c r="D38" s="270"/>
      <c r="E38" s="270"/>
      <c r="F38" s="270"/>
      <c r="G38" s="270"/>
      <c r="H38" s="270"/>
      <c r="I38" s="270"/>
      <c r="J38" s="270"/>
      <c r="K38" s="845"/>
      <c r="L38" s="845"/>
      <c r="M38" s="50"/>
      <c r="N38" s="50"/>
      <c r="O38" s="50"/>
      <c r="P38" s="50"/>
      <c r="Q38" s="50"/>
      <c r="R38" s="845"/>
      <c r="S38" s="845"/>
      <c r="T38" s="845"/>
      <c r="U38" s="845"/>
      <c r="V38" s="845"/>
      <c r="W38" s="845"/>
      <c r="X38" s="845">
        <v>510</v>
      </c>
      <c r="Y38" s="845">
        <f>509</f>
        <v>509</v>
      </c>
      <c r="Z38" s="845">
        <f>509</f>
        <v>509</v>
      </c>
      <c r="AA38" s="845">
        <f>500</f>
        <v>500</v>
      </c>
      <c r="AB38" s="845">
        <v>500</v>
      </c>
      <c r="AC38" s="845">
        <f>493</f>
        <v>493</v>
      </c>
      <c r="AD38" s="845">
        <f>490</f>
        <v>490</v>
      </c>
      <c r="AE38" s="845">
        <f>474</f>
        <v>474</v>
      </c>
      <c r="AF38" s="845">
        <f>+AE38-25</f>
        <v>449</v>
      </c>
      <c r="AG38" s="845">
        <f>445</f>
        <v>445</v>
      </c>
      <c r="AH38" s="845">
        <f>436</f>
        <v>436</v>
      </c>
      <c r="AI38" s="845">
        <f>360</f>
        <v>360</v>
      </c>
      <c r="AJ38" s="845">
        <v>357</v>
      </c>
      <c r="AK38" s="845">
        <v>353</v>
      </c>
      <c r="AL38" s="845">
        <v>343</v>
      </c>
      <c r="AM38" s="845">
        <v>337</v>
      </c>
      <c r="AN38" s="203"/>
    </row>
    <row r="39" spans="1:43" ht="13.5" thickBot="1" x14ac:dyDescent="0.25">
      <c r="A39" s="1039" t="s">
        <v>492</v>
      </c>
      <c r="B39" s="1040"/>
      <c r="C39" s="1040"/>
      <c r="D39" s="1040"/>
      <c r="E39" s="1040"/>
      <c r="F39" s="1040"/>
      <c r="G39" s="1040"/>
      <c r="H39" s="1040"/>
      <c r="I39" s="1040"/>
      <c r="J39" s="1040"/>
      <c r="K39" s="1040"/>
      <c r="L39" s="1040"/>
      <c r="M39" s="1040"/>
      <c r="N39" s="1040"/>
      <c r="O39" s="1040"/>
      <c r="P39" s="1040"/>
      <c r="Q39" s="177">
        <f t="shared" ref="Q39:T39" si="6">R39-R32</f>
        <v>3515</v>
      </c>
      <c r="R39" s="177">
        <f t="shared" si="6"/>
        <v>7050</v>
      </c>
      <c r="S39" s="177">
        <f t="shared" si="6"/>
        <v>9281</v>
      </c>
      <c r="T39" s="177">
        <f t="shared" si="6"/>
        <v>11232</v>
      </c>
      <c r="U39" s="177">
        <f>V39-V32</f>
        <v>14285</v>
      </c>
      <c r="V39" s="177">
        <v>15664</v>
      </c>
      <c r="W39" s="177">
        <f>15784</f>
        <v>15784</v>
      </c>
      <c r="X39" s="177">
        <f>16963</f>
        <v>16963</v>
      </c>
      <c r="Y39" s="177">
        <f>17730</f>
        <v>17730</v>
      </c>
      <c r="Z39" s="177">
        <f>18315</f>
        <v>18315</v>
      </c>
      <c r="AA39" s="177">
        <f>19206</f>
        <v>19206</v>
      </c>
      <c r="AB39" s="177">
        <f>19911</f>
        <v>19911</v>
      </c>
      <c r="AC39" s="177">
        <f>20157</f>
        <v>20157</v>
      </c>
      <c r="AD39" s="177">
        <f>20416</f>
        <v>20416</v>
      </c>
      <c r="AE39" s="177">
        <f>20345</f>
        <v>20345</v>
      </c>
      <c r="AF39" s="177">
        <f>+AE39-112</f>
        <v>20233</v>
      </c>
      <c r="AG39" s="177">
        <f>20908</f>
        <v>20908</v>
      </c>
      <c r="AH39" s="177">
        <f>21623</f>
        <v>21623</v>
      </c>
      <c r="AI39" s="177">
        <f>21162</f>
        <v>21162</v>
      </c>
      <c r="AJ39" s="177">
        <v>21099</v>
      </c>
      <c r="AK39" s="177">
        <v>20924</v>
      </c>
      <c r="AL39" s="177">
        <v>20662</v>
      </c>
      <c r="AM39" s="177">
        <v>20397</v>
      </c>
      <c r="AN39" s="177"/>
    </row>
    <row r="40" spans="1:43" ht="13.5" thickTop="1" x14ac:dyDescent="0.2">
      <c r="A40" s="1043"/>
      <c r="B40" s="402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411"/>
      <c r="AB40" s="411"/>
      <c r="AC40" s="411"/>
      <c r="AD40" s="411"/>
      <c r="AE40" s="411"/>
      <c r="AF40" s="411"/>
      <c r="AG40" s="411"/>
      <c r="AH40" s="411"/>
      <c r="AI40" s="652"/>
      <c r="AJ40" s="652"/>
      <c r="AK40" s="652"/>
      <c r="AL40" s="652"/>
      <c r="AM40" s="652"/>
    </row>
    <row r="41" spans="1:43" x14ac:dyDescent="0.2">
      <c r="AD41" s="999"/>
      <c r="AE41" s="999"/>
      <c r="AF41" s="999"/>
      <c r="AG41" s="999"/>
      <c r="AH41" s="999"/>
      <c r="AI41" s="999"/>
      <c r="AJ41" s="999"/>
      <c r="AK41" s="999"/>
      <c r="AL41" s="999"/>
      <c r="AM41" s="999"/>
    </row>
    <row r="42" spans="1:43" x14ac:dyDescent="0.2">
      <c r="AD42" s="999"/>
      <c r="AE42" s="999"/>
      <c r="AF42" s="999"/>
      <c r="AG42" s="999"/>
      <c r="AH42" s="999"/>
      <c r="AI42" s="999"/>
      <c r="AJ42" s="999"/>
      <c r="AK42" s="999"/>
      <c r="AL42" s="999"/>
      <c r="AM42" s="999"/>
    </row>
    <row r="43" spans="1:43" x14ac:dyDescent="0.2">
      <c r="AD43" s="999"/>
      <c r="AE43" s="999"/>
      <c r="AF43" s="999"/>
      <c r="AG43" s="999"/>
      <c r="AH43" s="999"/>
      <c r="AI43" s="999"/>
      <c r="AJ43" s="999"/>
      <c r="AK43" s="999"/>
      <c r="AL43" s="999"/>
      <c r="AM43" s="999"/>
    </row>
    <row r="44" spans="1:43" x14ac:dyDescent="0.2">
      <c r="AD44" s="110"/>
    </row>
    <row r="45" spans="1:43" x14ac:dyDescent="0.2">
      <c r="AD45" s="110"/>
    </row>
    <row r="46" spans="1:43" x14ac:dyDescent="0.2">
      <c r="AD46" s="110"/>
    </row>
    <row r="47" spans="1:43" x14ac:dyDescent="0.2">
      <c r="AD47" s="110"/>
    </row>
    <row r="48" spans="1:43" x14ac:dyDescent="0.2">
      <c r="AD48" s="110"/>
    </row>
    <row r="49" spans="30:30" x14ac:dyDescent="0.2">
      <c r="AD49" s="110"/>
    </row>
    <row r="50" spans="30:30" x14ac:dyDescent="0.2">
      <c r="AD50" s="110"/>
    </row>
    <row r="51" spans="30:30" x14ac:dyDescent="0.2">
      <c r="AD51" s="110"/>
    </row>
    <row r="52" spans="30:30" x14ac:dyDescent="0.2">
      <c r="AD52" s="110"/>
    </row>
    <row r="53" spans="30:30" x14ac:dyDescent="0.2">
      <c r="AD53" s="110"/>
    </row>
    <row r="54" spans="30:30" x14ac:dyDescent="0.2">
      <c r="AD54" s="110"/>
    </row>
    <row r="55" spans="30:30" x14ac:dyDescent="0.2">
      <c r="AD55" s="110"/>
    </row>
    <row r="56" spans="30:30" x14ac:dyDescent="0.2">
      <c r="AD56" s="110"/>
    </row>
    <row r="57" spans="30:30" x14ac:dyDescent="0.2">
      <c r="AD57" s="110"/>
    </row>
    <row r="58" spans="30:30" x14ac:dyDescent="0.2">
      <c r="AD58" s="110"/>
    </row>
    <row r="59" spans="30:30" x14ac:dyDescent="0.2">
      <c r="AD59" s="110"/>
    </row>
    <row r="60" spans="30:30" x14ac:dyDescent="0.2">
      <c r="AD60" s="110"/>
    </row>
    <row r="61" spans="30:30" x14ac:dyDescent="0.2">
      <c r="AD61" s="110"/>
    </row>
    <row r="62" spans="30:30" x14ac:dyDescent="0.2">
      <c r="AD62" s="110"/>
    </row>
    <row r="63" spans="30:30" x14ac:dyDescent="0.2">
      <c r="AD63" s="110"/>
    </row>
    <row r="64" spans="30:30" x14ac:dyDescent="0.2">
      <c r="AD64" s="110"/>
    </row>
    <row r="65" spans="30:30" x14ac:dyDescent="0.2">
      <c r="AD65" s="110"/>
    </row>
    <row r="66" spans="30:30" x14ac:dyDescent="0.2">
      <c r="AD66" s="110"/>
    </row>
    <row r="67" spans="30:30" x14ac:dyDescent="0.2">
      <c r="AD67" s="110"/>
    </row>
    <row r="68" spans="30:30" x14ac:dyDescent="0.2">
      <c r="AD68" s="110"/>
    </row>
    <row r="69" spans="30:30" x14ac:dyDescent="0.2">
      <c r="AD69" s="110"/>
    </row>
    <row r="70" spans="30:30" x14ac:dyDescent="0.2">
      <c r="AD70" s="110"/>
    </row>
    <row r="71" spans="30:30" x14ac:dyDescent="0.2">
      <c r="AD71" s="110"/>
    </row>
    <row r="72" spans="30:30" x14ac:dyDescent="0.2">
      <c r="AD72" s="110"/>
    </row>
    <row r="73" spans="30:30" x14ac:dyDescent="0.2">
      <c r="AD73" s="110"/>
    </row>
    <row r="74" spans="30:30" x14ac:dyDescent="0.2">
      <c r="AD74" s="110"/>
    </row>
    <row r="75" spans="30:30" x14ac:dyDescent="0.2">
      <c r="AD75" s="110"/>
    </row>
    <row r="76" spans="30:30" x14ac:dyDescent="0.2">
      <c r="AD76" s="110"/>
    </row>
    <row r="77" spans="30:30" x14ac:dyDescent="0.2">
      <c r="AD77" s="110"/>
    </row>
    <row r="78" spans="30:30" x14ac:dyDescent="0.2">
      <c r="AD78" s="110"/>
    </row>
    <row r="79" spans="30:30" x14ac:dyDescent="0.2">
      <c r="AD79" s="110"/>
    </row>
    <row r="80" spans="30:30" x14ac:dyDescent="0.2">
      <c r="AD80" s="110"/>
    </row>
    <row r="81" spans="30:30" x14ac:dyDescent="0.2">
      <c r="AD81" s="110"/>
    </row>
    <row r="82" spans="30:30" x14ac:dyDescent="0.2">
      <c r="AD82" s="110"/>
    </row>
    <row r="83" spans="30:30" x14ac:dyDescent="0.2">
      <c r="AD83" s="110"/>
    </row>
    <row r="84" spans="30:30" x14ac:dyDescent="0.2">
      <c r="AD84" s="110"/>
    </row>
    <row r="85" spans="30:30" x14ac:dyDescent="0.2">
      <c r="AD85" s="110"/>
    </row>
    <row r="86" spans="30:30" x14ac:dyDescent="0.2">
      <c r="AD86" s="110"/>
    </row>
    <row r="87" spans="30:30" x14ac:dyDescent="0.2">
      <c r="AD87" s="110"/>
    </row>
    <row r="88" spans="30:30" x14ac:dyDescent="0.2">
      <c r="AD88" s="110"/>
    </row>
    <row r="89" spans="30:30" x14ac:dyDescent="0.2">
      <c r="AD89" s="110"/>
    </row>
    <row r="90" spans="30:30" x14ac:dyDescent="0.2">
      <c r="AD90" s="110"/>
    </row>
    <row r="91" spans="30:30" x14ac:dyDescent="0.2">
      <c r="AD91" s="110"/>
    </row>
    <row r="92" spans="30:30" x14ac:dyDescent="0.2">
      <c r="AD92" s="110"/>
    </row>
    <row r="93" spans="30:30" x14ac:dyDescent="0.2">
      <c r="AD93" s="110"/>
    </row>
    <row r="94" spans="30:30" x14ac:dyDescent="0.2">
      <c r="AD94" s="110"/>
    </row>
    <row r="95" spans="30:30" x14ac:dyDescent="0.2">
      <c r="AD95" s="110"/>
    </row>
    <row r="96" spans="30:30" x14ac:dyDescent="0.2">
      <c r="AD96" s="110"/>
    </row>
    <row r="97" spans="30:30" x14ac:dyDescent="0.2">
      <c r="AD97" s="110"/>
    </row>
    <row r="98" spans="30:30" x14ac:dyDescent="0.2">
      <c r="AD98" s="110"/>
    </row>
    <row r="99" spans="30:30" x14ac:dyDescent="0.2">
      <c r="AD99" s="110"/>
    </row>
    <row r="100" spans="30:30" x14ac:dyDescent="0.2">
      <c r="AD100" s="110"/>
    </row>
    <row r="101" spans="30:30" x14ac:dyDescent="0.2">
      <c r="AD101" s="110"/>
    </row>
    <row r="102" spans="30:30" x14ac:dyDescent="0.2">
      <c r="AD102" s="110"/>
    </row>
    <row r="103" spans="30:30" x14ac:dyDescent="0.2">
      <c r="AD103" s="110"/>
    </row>
    <row r="104" spans="30:30" x14ac:dyDescent="0.2">
      <c r="AD104" s="110"/>
    </row>
    <row r="105" spans="30:30" x14ac:dyDescent="0.2">
      <c r="AD105" s="110"/>
    </row>
    <row r="106" spans="30:30" x14ac:dyDescent="0.2">
      <c r="AD106" s="110"/>
    </row>
    <row r="107" spans="30:30" x14ac:dyDescent="0.2">
      <c r="AD107" s="110"/>
    </row>
    <row r="108" spans="30:30" x14ac:dyDescent="0.2">
      <c r="AD108" s="110"/>
    </row>
    <row r="109" spans="30:30" x14ac:dyDescent="0.2">
      <c r="AD109" s="110"/>
    </row>
    <row r="110" spans="30:30" x14ac:dyDescent="0.2">
      <c r="AD110" s="110"/>
    </row>
    <row r="111" spans="30:30" x14ac:dyDescent="0.2">
      <c r="AD111" s="110"/>
    </row>
    <row r="112" spans="30:30" x14ac:dyDescent="0.2">
      <c r="AD112" s="110"/>
    </row>
    <row r="113" spans="30:30" x14ac:dyDescent="0.2">
      <c r="AD113" s="110"/>
    </row>
    <row r="114" spans="30:30" x14ac:dyDescent="0.2">
      <c r="AD114" s="110"/>
    </row>
    <row r="115" spans="30:30" x14ac:dyDescent="0.2">
      <c r="AD115" s="110"/>
    </row>
    <row r="116" spans="30:30" x14ac:dyDescent="0.2">
      <c r="AD116" s="110"/>
    </row>
    <row r="117" spans="30:30" x14ac:dyDescent="0.2">
      <c r="AD117" s="110"/>
    </row>
    <row r="118" spans="30:30" x14ac:dyDescent="0.2">
      <c r="AD118" s="110"/>
    </row>
    <row r="119" spans="30:30" x14ac:dyDescent="0.2">
      <c r="AD119" s="110"/>
    </row>
    <row r="120" spans="30:30" x14ac:dyDescent="0.2">
      <c r="AD120" s="110"/>
    </row>
    <row r="121" spans="30:30" x14ac:dyDescent="0.2">
      <c r="AD121" s="110"/>
    </row>
    <row r="122" spans="30:30" x14ac:dyDescent="0.2">
      <c r="AD122" s="110"/>
    </row>
    <row r="123" spans="30:30" x14ac:dyDescent="0.2">
      <c r="AD123" s="110"/>
    </row>
    <row r="124" spans="30:30" x14ac:dyDescent="0.2">
      <c r="AD124" s="110"/>
    </row>
    <row r="125" spans="30:30" x14ac:dyDescent="0.2">
      <c r="AD125" s="110"/>
    </row>
    <row r="126" spans="30:30" x14ac:dyDescent="0.2">
      <c r="AD126" s="110"/>
    </row>
    <row r="127" spans="30:30" x14ac:dyDescent="0.2">
      <c r="AD127" s="110"/>
    </row>
    <row r="128" spans="30:30" x14ac:dyDescent="0.2">
      <c r="AD128" s="110"/>
    </row>
    <row r="129" spans="30:30" x14ac:dyDescent="0.2">
      <c r="AD129" s="110"/>
    </row>
    <row r="130" spans="30:30" x14ac:dyDescent="0.2">
      <c r="AD130" s="110"/>
    </row>
    <row r="131" spans="30:30" x14ac:dyDescent="0.2">
      <c r="AD131" s="110"/>
    </row>
    <row r="132" spans="30:30" x14ac:dyDescent="0.2">
      <c r="AD132" s="110"/>
    </row>
    <row r="133" spans="30:30" x14ac:dyDescent="0.2">
      <c r="AD133" s="110"/>
    </row>
    <row r="134" spans="30:30" x14ac:dyDescent="0.2">
      <c r="AD134" s="110"/>
    </row>
    <row r="135" spans="30:30" x14ac:dyDescent="0.2">
      <c r="AD135" s="110"/>
    </row>
    <row r="136" spans="30:30" x14ac:dyDescent="0.2">
      <c r="AD136" s="110"/>
    </row>
    <row r="137" spans="30:30" x14ac:dyDescent="0.2">
      <c r="AD137" s="110"/>
    </row>
    <row r="138" spans="30:30" x14ac:dyDescent="0.2">
      <c r="AD138" s="110"/>
    </row>
    <row r="139" spans="30:30" x14ac:dyDescent="0.2">
      <c r="AD139" s="110"/>
    </row>
    <row r="140" spans="30:30" x14ac:dyDescent="0.2">
      <c r="AD140" s="110"/>
    </row>
    <row r="141" spans="30:30" x14ac:dyDescent="0.2">
      <c r="AD141" s="110"/>
    </row>
    <row r="142" spans="30:30" x14ac:dyDescent="0.2">
      <c r="AD142" s="110"/>
    </row>
    <row r="143" spans="30:30" x14ac:dyDescent="0.2">
      <c r="AD143" s="110"/>
    </row>
    <row r="144" spans="30:30" x14ac:dyDescent="0.2">
      <c r="AD144" s="110"/>
    </row>
    <row r="145" spans="30:30" x14ac:dyDescent="0.2">
      <c r="AD145" s="110"/>
    </row>
    <row r="146" spans="30:30" x14ac:dyDescent="0.2">
      <c r="AD146" s="110"/>
    </row>
    <row r="147" spans="30:30" x14ac:dyDescent="0.2">
      <c r="AD147" s="110"/>
    </row>
    <row r="148" spans="30:30" x14ac:dyDescent="0.2">
      <c r="AD148" s="110"/>
    </row>
    <row r="149" spans="30:30" x14ac:dyDescent="0.2">
      <c r="AD149" s="110"/>
    </row>
    <row r="150" spans="30:30" x14ac:dyDescent="0.2">
      <c r="AD150" s="110"/>
    </row>
    <row r="151" spans="30:30" x14ac:dyDescent="0.2">
      <c r="AD151" s="110"/>
    </row>
    <row r="152" spans="30:30" x14ac:dyDescent="0.2">
      <c r="AD152" s="110"/>
    </row>
    <row r="153" spans="30:30" x14ac:dyDescent="0.2">
      <c r="AD153" s="110"/>
    </row>
    <row r="154" spans="30:30" x14ac:dyDescent="0.2">
      <c r="AD154" s="110"/>
    </row>
    <row r="155" spans="30:30" x14ac:dyDescent="0.2">
      <c r="AD155" s="110"/>
    </row>
    <row r="156" spans="30:30" x14ac:dyDescent="0.2">
      <c r="AD156" s="110"/>
    </row>
    <row r="157" spans="30:30" x14ac:dyDescent="0.2">
      <c r="AD157" s="110"/>
    </row>
    <row r="158" spans="30:30" x14ac:dyDescent="0.2">
      <c r="AD158" s="110"/>
    </row>
    <row r="159" spans="30:30" x14ac:dyDescent="0.2">
      <c r="AD159" s="110"/>
    </row>
    <row r="160" spans="30:30" x14ac:dyDescent="0.2">
      <c r="AD160" s="110"/>
    </row>
    <row r="161" spans="30:30" x14ac:dyDescent="0.2">
      <c r="AD161" s="110"/>
    </row>
    <row r="162" spans="30:30" x14ac:dyDescent="0.2">
      <c r="AD162" s="110"/>
    </row>
    <row r="163" spans="30:30" x14ac:dyDescent="0.2">
      <c r="AD163" s="110"/>
    </row>
    <row r="164" spans="30:30" x14ac:dyDescent="0.2">
      <c r="AD164" s="110"/>
    </row>
    <row r="165" spans="30:30" x14ac:dyDescent="0.2">
      <c r="AD165" s="110"/>
    </row>
    <row r="166" spans="30:30" x14ac:dyDescent="0.2">
      <c r="AD166" s="110"/>
    </row>
    <row r="167" spans="30:30" x14ac:dyDescent="0.2">
      <c r="AD167" s="110"/>
    </row>
    <row r="168" spans="30:30" x14ac:dyDescent="0.2">
      <c r="AD168" s="110"/>
    </row>
    <row r="169" spans="30:30" x14ac:dyDescent="0.2">
      <c r="AD169" s="110"/>
    </row>
    <row r="170" spans="30:30" x14ac:dyDescent="0.2">
      <c r="AD170" s="110"/>
    </row>
    <row r="171" spans="30:30" x14ac:dyDescent="0.2">
      <c r="AD171" s="110"/>
    </row>
    <row r="172" spans="30:30" x14ac:dyDescent="0.2">
      <c r="AD172" s="110"/>
    </row>
    <row r="173" spans="30:30" x14ac:dyDescent="0.2">
      <c r="AD173" s="110"/>
    </row>
    <row r="174" spans="30:30" x14ac:dyDescent="0.2">
      <c r="AD174" s="110"/>
    </row>
    <row r="175" spans="30:30" x14ac:dyDescent="0.2">
      <c r="AD175" s="110"/>
    </row>
    <row r="176" spans="30:30" x14ac:dyDescent="0.2">
      <c r="AD176" s="110"/>
    </row>
    <row r="177" spans="30:30" x14ac:dyDescent="0.2">
      <c r="AD177" s="110"/>
    </row>
    <row r="178" spans="30:30" x14ac:dyDescent="0.2">
      <c r="AD178" s="110"/>
    </row>
    <row r="179" spans="30:30" x14ac:dyDescent="0.2">
      <c r="AD179" s="110"/>
    </row>
    <row r="180" spans="30:30" x14ac:dyDescent="0.2">
      <c r="AD180" s="110"/>
    </row>
    <row r="181" spans="30:30" x14ac:dyDescent="0.2">
      <c r="AD181" s="110"/>
    </row>
    <row r="182" spans="30:30" x14ac:dyDescent="0.2">
      <c r="AD182" s="110"/>
    </row>
    <row r="183" spans="30:30" x14ac:dyDescent="0.2">
      <c r="AD183" s="110"/>
    </row>
    <row r="184" spans="30:30" x14ac:dyDescent="0.2">
      <c r="AD184" s="110"/>
    </row>
    <row r="185" spans="30:30" x14ac:dyDescent="0.2">
      <c r="AD185" s="110"/>
    </row>
    <row r="186" spans="30:30" x14ac:dyDescent="0.2">
      <c r="AD186" s="110"/>
    </row>
    <row r="187" spans="30:30" x14ac:dyDescent="0.2">
      <c r="AD187" s="110"/>
    </row>
    <row r="188" spans="30:30" x14ac:dyDescent="0.2">
      <c r="AD188" s="110"/>
    </row>
    <row r="189" spans="30:30" x14ac:dyDescent="0.2">
      <c r="AD189" s="110"/>
    </row>
    <row r="190" spans="30:30" x14ac:dyDescent="0.2">
      <c r="AD190" s="110"/>
    </row>
    <row r="191" spans="30:30" x14ac:dyDescent="0.2">
      <c r="AD191" s="110"/>
    </row>
    <row r="192" spans="30:30" x14ac:dyDescent="0.2">
      <c r="AD192" s="110"/>
    </row>
    <row r="193" spans="30:30" x14ac:dyDescent="0.2">
      <c r="AD193" s="110"/>
    </row>
    <row r="194" spans="30:30" x14ac:dyDescent="0.2">
      <c r="AD194" s="110"/>
    </row>
    <row r="195" spans="30:30" x14ac:dyDescent="0.2">
      <c r="AD195" s="110"/>
    </row>
    <row r="196" spans="30:30" x14ac:dyDescent="0.2">
      <c r="AD196" s="110"/>
    </row>
    <row r="197" spans="30:30" x14ac:dyDescent="0.2">
      <c r="AD197" s="110"/>
    </row>
    <row r="198" spans="30:30" x14ac:dyDescent="0.2">
      <c r="AD198" s="110"/>
    </row>
    <row r="199" spans="30:30" x14ac:dyDescent="0.2">
      <c r="AD199" s="110"/>
    </row>
    <row r="200" spans="30:30" x14ac:dyDescent="0.2">
      <c r="AD200" s="110"/>
    </row>
    <row r="201" spans="30:30" x14ac:dyDescent="0.2">
      <c r="AD201" s="110"/>
    </row>
    <row r="202" spans="30:30" x14ac:dyDescent="0.2">
      <c r="AD202" s="110"/>
    </row>
    <row r="203" spans="30:30" x14ac:dyDescent="0.2">
      <c r="AD203" s="110"/>
    </row>
    <row r="204" spans="30:30" x14ac:dyDescent="0.2">
      <c r="AD204" s="110"/>
    </row>
    <row r="205" spans="30:30" x14ac:dyDescent="0.2">
      <c r="AD205" s="110"/>
    </row>
    <row r="206" spans="30:30" x14ac:dyDescent="0.2">
      <c r="AD206" s="110"/>
    </row>
    <row r="207" spans="30:30" x14ac:dyDescent="0.2">
      <c r="AD207" s="110"/>
    </row>
    <row r="208" spans="30:30" x14ac:dyDescent="0.2">
      <c r="AD208" s="110"/>
    </row>
    <row r="209" spans="30:30" x14ac:dyDescent="0.2">
      <c r="AD209" s="110"/>
    </row>
    <row r="210" spans="30:30" x14ac:dyDescent="0.2">
      <c r="AD210" s="110"/>
    </row>
    <row r="211" spans="30:30" x14ac:dyDescent="0.2">
      <c r="AD211" s="110"/>
    </row>
    <row r="212" spans="30:30" x14ac:dyDescent="0.2">
      <c r="AD212" s="110"/>
    </row>
    <row r="213" spans="30:30" x14ac:dyDescent="0.2">
      <c r="AD213" s="110"/>
    </row>
    <row r="214" spans="30:30" x14ac:dyDescent="0.2">
      <c r="AD214" s="110"/>
    </row>
    <row r="215" spans="30:30" x14ac:dyDescent="0.2">
      <c r="AD215" s="110"/>
    </row>
    <row r="216" spans="30:30" x14ac:dyDescent="0.2">
      <c r="AD216" s="110"/>
    </row>
    <row r="217" spans="30:30" x14ac:dyDescent="0.2">
      <c r="AD217" s="110"/>
    </row>
    <row r="218" spans="30:30" x14ac:dyDescent="0.2">
      <c r="AD218" s="110"/>
    </row>
    <row r="219" spans="30:30" x14ac:dyDescent="0.2">
      <c r="AD219" s="110"/>
    </row>
    <row r="220" spans="30:30" x14ac:dyDescent="0.2">
      <c r="AD220" s="110"/>
    </row>
    <row r="221" spans="30:30" x14ac:dyDescent="0.2">
      <c r="AD221" s="110"/>
    </row>
    <row r="222" spans="30:30" x14ac:dyDescent="0.2">
      <c r="AD222" s="110"/>
    </row>
    <row r="223" spans="30:30" x14ac:dyDescent="0.2">
      <c r="AD223" s="110"/>
    </row>
    <row r="224" spans="30:30" x14ac:dyDescent="0.2">
      <c r="AD224" s="110"/>
    </row>
    <row r="225" spans="30:30" x14ac:dyDescent="0.2">
      <c r="AD225" s="110"/>
    </row>
    <row r="226" spans="30:30" x14ac:dyDescent="0.2">
      <c r="AD226" s="110"/>
    </row>
    <row r="227" spans="30:30" x14ac:dyDescent="0.2">
      <c r="AD227" s="110"/>
    </row>
    <row r="228" spans="30:30" x14ac:dyDescent="0.2">
      <c r="AD228" s="110"/>
    </row>
    <row r="229" spans="30:30" x14ac:dyDescent="0.2">
      <c r="AD229" s="110"/>
    </row>
    <row r="230" spans="30:30" x14ac:dyDescent="0.2">
      <c r="AD230" s="110"/>
    </row>
    <row r="231" spans="30:30" x14ac:dyDescent="0.2">
      <c r="AD231" s="110"/>
    </row>
    <row r="232" spans="30:30" x14ac:dyDescent="0.2">
      <c r="AD232" s="110"/>
    </row>
    <row r="233" spans="30:30" x14ac:dyDescent="0.2">
      <c r="AD233" s="110"/>
    </row>
    <row r="234" spans="30:30" x14ac:dyDescent="0.2">
      <c r="AD234" s="110"/>
    </row>
    <row r="235" spans="30:30" x14ac:dyDescent="0.2">
      <c r="AD235" s="110"/>
    </row>
    <row r="236" spans="30:30" x14ac:dyDescent="0.2">
      <c r="AD236" s="110"/>
    </row>
    <row r="237" spans="30:30" x14ac:dyDescent="0.2">
      <c r="AD237" s="110"/>
    </row>
    <row r="238" spans="30:30" x14ac:dyDescent="0.2">
      <c r="AD238" s="110"/>
    </row>
    <row r="239" spans="30:30" x14ac:dyDescent="0.2">
      <c r="AD239" s="110"/>
    </row>
    <row r="240" spans="30:30" x14ac:dyDescent="0.2">
      <c r="AD240" s="110"/>
    </row>
    <row r="241" spans="30:30" x14ac:dyDescent="0.2">
      <c r="AD241" s="110"/>
    </row>
    <row r="242" spans="30:30" x14ac:dyDescent="0.2">
      <c r="AD242" s="110"/>
    </row>
    <row r="243" spans="30:30" x14ac:dyDescent="0.2">
      <c r="AD243" s="110"/>
    </row>
    <row r="244" spans="30:30" x14ac:dyDescent="0.2">
      <c r="AD244" s="110"/>
    </row>
    <row r="245" spans="30:30" x14ac:dyDescent="0.2">
      <c r="AD245" s="110"/>
    </row>
    <row r="246" spans="30:30" x14ac:dyDescent="0.2">
      <c r="AD246" s="110"/>
    </row>
    <row r="247" spans="30:30" x14ac:dyDescent="0.2">
      <c r="AD247" s="110"/>
    </row>
    <row r="248" spans="30:30" x14ac:dyDescent="0.2">
      <c r="AD248" s="110"/>
    </row>
    <row r="249" spans="30:30" x14ac:dyDescent="0.2">
      <c r="AD249" s="110"/>
    </row>
    <row r="250" spans="30:30" x14ac:dyDescent="0.2">
      <c r="AD250" s="110"/>
    </row>
    <row r="251" spans="30:30" x14ac:dyDescent="0.2">
      <c r="AD251" s="110"/>
    </row>
    <row r="252" spans="30:30" x14ac:dyDescent="0.2">
      <c r="AD252" s="110"/>
    </row>
    <row r="253" spans="30:30" x14ac:dyDescent="0.2">
      <c r="AD253" s="110"/>
    </row>
    <row r="254" spans="30:30" x14ac:dyDescent="0.2">
      <c r="AD254" s="110"/>
    </row>
    <row r="255" spans="30:30" x14ac:dyDescent="0.2">
      <c r="AD255" s="110"/>
    </row>
    <row r="256" spans="30:30" x14ac:dyDescent="0.2">
      <c r="AD256" s="110"/>
    </row>
    <row r="257" spans="30:30" x14ac:dyDescent="0.2">
      <c r="AD257" s="110"/>
    </row>
    <row r="258" spans="30:30" x14ac:dyDescent="0.2">
      <c r="AD258" s="110"/>
    </row>
    <row r="259" spans="30:30" x14ac:dyDescent="0.2">
      <c r="AD259" s="110"/>
    </row>
    <row r="260" spans="30:30" x14ac:dyDescent="0.2">
      <c r="AD260" s="110"/>
    </row>
    <row r="261" spans="30:30" x14ac:dyDescent="0.2">
      <c r="AD261" s="110"/>
    </row>
    <row r="262" spans="30:30" x14ac:dyDescent="0.2">
      <c r="AD262" s="110"/>
    </row>
    <row r="263" spans="30:30" x14ac:dyDescent="0.2">
      <c r="AD263" s="110"/>
    </row>
    <row r="264" spans="30:30" x14ac:dyDescent="0.2">
      <c r="AD264" s="110"/>
    </row>
    <row r="265" spans="30:30" x14ac:dyDescent="0.2">
      <c r="AD265" s="110"/>
    </row>
    <row r="266" spans="30:30" x14ac:dyDescent="0.2">
      <c r="AD266" s="110"/>
    </row>
    <row r="267" spans="30:30" x14ac:dyDescent="0.2">
      <c r="AD267" s="110"/>
    </row>
    <row r="268" spans="30:30" x14ac:dyDescent="0.2">
      <c r="AD268" s="110"/>
    </row>
    <row r="269" spans="30:30" x14ac:dyDescent="0.2">
      <c r="AD269" s="110"/>
    </row>
    <row r="270" spans="30:30" x14ac:dyDescent="0.2">
      <c r="AD270" s="110"/>
    </row>
    <row r="271" spans="30:30" x14ac:dyDescent="0.2">
      <c r="AD271" s="110"/>
    </row>
    <row r="272" spans="30:30" x14ac:dyDescent="0.2">
      <c r="AD272" s="110"/>
    </row>
    <row r="273" spans="30:30" x14ac:dyDescent="0.2">
      <c r="AD273" s="110"/>
    </row>
    <row r="274" spans="30:30" x14ac:dyDescent="0.2">
      <c r="AD274" s="110"/>
    </row>
    <row r="275" spans="30:30" x14ac:dyDescent="0.2">
      <c r="AD275" s="110"/>
    </row>
    <row r="276" spans="30:30" x14ac:dyDescent="0.2">
      <c r="AD276" s="110"/>
    </row>
    <row r="277" spans="30:30" x14ac:dyDescent="0.2">
      <c r="AD277" s="110"/>
    </row>
    <row r="278" spans="30:30" x14ac:dyDescent="0.2">
      <c r="AD278" s="110"/>
    </row>
    <row r="279" spans="30:30" x14ac:dyDescent="0.2">
      <c r="AD279" s="110"/>
    </row>
    <row r="280" spans="30:30" x14ac:dyDescent="0.2">
      <c r="AD280" s="110"/>
    </row>
    <row r="281" spans="30:30" x14ac:dyDescent="0.2">
      <c r="AD281" s="110"/>
    </row>
    <row r="282" spans="30:30" x14ac:dyDescent="0.2">
      <c r="AD282" s="110"/>
    </row>
    <row r="283" spans="30:30" x14ac:dyDescent="0.2">
      <c r="AD283" s="110"/>
    </row>
    <row r="284" spans="30:30" x14ac:dyDescent="0.2">
      <c r="AD284" s="110"/>
    </row>
    <row r="285" spans="30:30" x14ac:dyDescent="0.2">
      <c r="AD285" s="110"/>
    </row>
    <row r="286" spans="30:30" x14ac:dyDescent="0.2">
      <c r="AD286" s="110"/>
    </row>
    <row r="287" spans="30:30" x14ac:dyDescent="0.2">
      <c r="AD287" s="110"/>
    </row>
    <row r="288" spans="30:30" x14ac:dyDescent="0.2">
      <c r="AD288" s="110"/>
    </row>
    <row r="289" spans="30:30" x14ac:dyDescent="0.2">
      <c r="AD289" s="110"/>
    </row>
    <row r="290" spans="30:30" x14ac:dyDescent="0.2">
      <c r="AD290" s="110"/>
    </row>
    <row r="291" spans="30:30" x14ac:dyDescent="0.2">
      <c r="AD291" s="110"/>
    </row>
    <row r="292" spans="30:30" x14ac:dyDescent="0.2">
      <c r="AD292" s="110"/>
    </row>
    <row r="293" spans="30:30" x14ac:dyDescent="0.2">
      <c r="AD293" s="110"/>
    </row>
    <row r="294" spans="30:30" x14ac:dyDescent="0.2">
      <c r="AD294" s="110"/>
    </row>
    <row r="295" spans="30:30" x14ac:dyDescent="0.2">
      <c r="AD295" s="110"/>
    </row>
    <row r="296" spans="30:30" x14ac:dyDescent="0.2">
      <c r="AD296" s="110"/>
    </row>
    <row r="297" spans="30:30" x14ac:dyDescent="0.2">
      <c r="AD297" s="110"/>
    </row>
    <row r="298" spans="30:30" x14ac:dyDescent="0.2">
      <c r="AD298" s="110"/>
    </row>
    <row r="299" spans="30:30" x14ac:dyDescent="0.2">
      <c r="AD299" s="110"/>
    </row>
    <row r="300" spans="30:30" x14ac:dyDescent="0.2">
      <c r="AD300" s="110"/>
    </row>
    <row r="301" spans="30:30" x14ac:dyDescent="0.2">
      <c r="AD301" s="110"/>
    </row>
    <row r="302" spans="30:30" x14ac:dyDescent="0.2">
      <c r="AD302" s="110"/>
    </row>
    <row r="303" spans="30:30" x14ac:dyDescent="0.2">
      <c r="AD303" s="110"/>
    </row>
    <row r="304" spans="30:30" x14ac:dyDescent="0.2">
      <c r="AD304" s="110"/>
    </row>
    <row r="305" spans="30:30" x14ac:dyDescent="0.2">
      <c r="AD305" s="110"/>
    </row>
    <row r="306" spans="30:30" x14ac:dyDescent="0.2">
      <c r="AD306" s="110"/>
    </row>
    <row r="307" spans="30:30" x14ac:dyDescent="0.2">
      <c r="AD307" s="110"/>
    </row>
    <row r="308" spans="30:30" x14ac:dyDescent="0.2">
      <c r="AD308" s="110"/>
    </row>
    <row r="309" spans="30:30" x14ac:dyDescent="0.2">
      <c r="AD309" s="110"/>
    </row>
    <row r="310" spans="30:30" x14ac:dyDescent="0.2">
      <c r="AD310" s="110"/>
    </row>
    <row r="311" spans="30:30" x14ac:dyDescent="0.2">
      <c r="AD311" s="110"/>
    </row>
    <row r="312" spans="30:30" x14ac:dyDescent="0.2">
      <c r="AD312" s="110"/>
    </row>
    <row r="313" spans="30:30" x14ac:dyDescent="0.2">
      <c r="AD313" s="110"/>
    </row>
    <row r="314" spans="30:30" x14ac:dyDescent="0.2">
      <c r="AD314" s="110"/>
    </row>
    <row r="315" spans="30:30" x14ac:dyDescent="0.2">
      <c r="AD315" s="110"/>
    </row>
    <row r="316" spans="30:30" x14ac:dyDescent="0.2">
      <c r="AD316" s="110"/>
    </row>
    <row r="317" spans="30:30" x14ac:dyDescent="0.2">
      <c r="AD317" s="110"/>
    </row>
    <row r="318" spans="30:30" x14ac:dyDescent="0.2">
      <c r="AD318" s="110"/>
    </row>
    <row r="319" spans="30:30" x14ac:dyDescent="0.2">
      <c r="AD319" s="110"/>
    </row>
    <row r="320" spans="30:30" x14ac:dyDescent="0.2">
      <c r="AD320" s="110"/>
    </row>
    <row r="321" spans="30:30" x14ac:dyDescent="0.2">
      <c r="AD321" s="110"/>
    </row>
    <row r="322" spans="30:30" x14ac:dyDescent="0.2">
      <c r="AD322" s="110"/>
    </row>
    <row r="323" spans="30:30" x14ac:dyDescent="0.2">
      <c r="AD323" s="110"/>
    </row>
    <row r="324" spans="30:30" x14ac:dyDescent="0.2">
      <c r="AD324" s="110"/>
    </row>
    <row r="325" spans="30:30" x14ac:dyDescent="0.2">
      <c r="AD325" s="110"/>
    </row>
    <row r="326" spans="30:30" x14ac:dyDescent="0.2">
      <c r="AD326" s="110"/>
    </row>
    <row r="327" spans="30:30" x14ac:dyDescent="0.2">
      <c r="AD327" s="110"/>
    </row>
    <row r="328" spans="30:30" x14ac:dyDescent="0.2">
      <c r="AD328" s="110"/>
    </row>
    <row r="329" spans="30:30" x14ac:dyDescent="0.2">
      <c r="AD329" s="110"/>
    </row>
    <row r="330" spans="30:30" x14ac:dyDescent="0.2">
      <c r="AD330" s="110"/>
    </row>
    <row r="331" spans="30:30" x14ac:dyDescent="0.2">
      <c r="AD331" s="110"/>
    </row>
    <row r="332" spans="30:30" x14ac:dyDescent="0.2">
      <c r="AD332" s="110"/>
    </row>
    <row r="333" spans="30:30" x14ac:dyDescent="0.2">
      <c r="AD333" s="110"/>
    </row>
    <row r="334" spans="30:30" x14ac:dyDescent="0.2">
      <c r="AD334" s="110"/>
    </row>
    <row r="335" spans="30:30" x14ac:dyDescent="0.2">
      <c r="AD335" s="110"/>
    </row>
    <row r="336" spans="30:30" x14ac:dyDescent="0.2">
      <c r="AD336" s="110"/>
    </row>
    <row r="337" spans="30:30" x14ac:dyDescent="0.2">
      <c r="AD337" s="110"/>
    </row>
    <row r="338" spans="30:30" x14ac:dyDescent="0.2">
      <c r="AD338" s="110"/>
    </row>
    <row r="339" spans="30:30" x14ac:dyDescent="0.2">
      <c r="AD339" s="110"/>
    </row>
    <row r="340" spans="30:30" x14ac:dyDescent="0.2">
      <c r="AD340" s="110"/>
    </row>
    <row r="341" spans="30:30" x14ac:dyDescent="0.2">
      <c r="AD341" s="110"/>
    </row>
    <row r="342" spans="30:30" x14ac:dyDescent="0.2">
      <c r="AD342" s="110"/>
    </row>
    <row r="343" spans="30:30" x14ac:dyDescent="0.2">
      <c r="AD343" s="110"/>
    </row>
    <row r="344" spans="30:30" x14ac:dyDescent="0.2">
      <c r="AD344" s="110"/>
    </row>
    <row r="345" spans="30:30" x14ac:dyDescent="0.2">
      <c r="AD345" s="110"/>
    </row>
    <row r="346" spans="30:30" x14ac:dyDescent="0.2">
      <c r="AD346" s="110"/>
    </row>
    <row r="347" spans="30:30" x14ac:dyDescent="0.2">
      <c r="AD347" s="110"/>
    </row>
    <row r="348" spans="30:30" x14ac:dyDescent="0.2">
      <c r="AD348" s="110"/>
    </row>
    <row r="349" spans="30:30" x14ac:dyDescent="0.2">
      <c r="AD349" s="110"/>
    </row>
    <row r="350" spans="30:30" x14ac:dyDescent="0.2">
      <c r="AD350" s="110"/>
    </row>
    <row r="351" spans="30:30" x14ac:dyDescent="0.2">
      <c r="AD351" s="110"/>
    </row>
    <row r="352" spans="30:30" x14ac:dyDescent="0.2">
      <c r="AD352" s="110"/>
    </row>
    <row r="353" spans="30:30" x14ac:dyDescent="0.2">
      <c r="AD353" s="110"/>
    </row>
    <row r="354" spans="30:30" x14ac:dyDescent="0.2">
      <c r="AD354" s="110"/>
    </row>
    <row r="355" spans="30:30" x14ac:dyDescent="0.2">
      <c r="AD355" s="110"/>
    </row>
    <row r="356" spans="30:30" x14ac:dyDescent="0.2">
      <c r="AD356" s="110"/>
    </row>
    <row r="357" spans="30:30" x14ac:dyDescent="0.2">
      <c r="AD357" s="110"/>
    </row>
    <row r="358" spans="30:30" x14ac:dyDescent="0.2">
      <c r="AD358" s="110"/>
    </row>
    <row r="359" spans="30:30" x14ac:dyDescent="0.2">
      <c r="AD359" s="110"/>
    </row>
    <row r="360" spans="30:30" x14ac:dyDescent="0.2">
      <c r="AD360" s="110"/>
    </row>
    <row r="361" spans="30:30" x14ac:dyDescent="0.2">
      <c r="AD361" s="110"/>
    </row>
    <row r="362" spans="30:30" x14ac:dyDescent="0.2">
      <c r="AD362" s="110"/>
    </row>
    <row r="363" spans="30:30" x14ac:dyDescent="0.2">
      <c r="AD363" s="110"/>
    </row>
    <row r="364" spans="30:30" x14ac:dyDescent="0.2">
      <c r="AD364" s="110"/>
    </row>
    <row r="365" spans="30:30" x14ac:dyDescent="0.2">
      <c r="AD365" s="110"/>
    </row>
    <row r="366" spans="30:30" x14ac:dyDescent="0.2">
      <c r="AD366" s="110"/>
    </row>
    <row r="367" spans="30:30" x14ac:dyDescent="0.2">
      <c r="AD367" s="110"/>
    </row>
    <row r="368" spans="30:30" x14ac:dyDescent="0.2">
      <c r="AD368" s="110"/>
    </row>
    <row r="369" spans="30:30" x14ac:dyDescent="0.2">
      <c r="AD369" s="110"/>
    </row>
    <row r="370" spans="30:30" x14ac:dyDescent="0.2">
      <c r="AD370" s="110"/>
    </row>
    <row r="371" spans="30:30" x14ac:dyDescent="0.2">
      <c r="AD371" s="110"/>
    </row>
    <row r="372" spans="30:30" x14ac:dyDescent="0.2">
      <c r="AD372" s="110"/>
    </row>
    <row r="373" spans="30:30" x14ac:dyDescent="0.2">
      <c r="AD373" s="110"/>
    </row>
    <row r="374" spans="30:30" x14ac:dyDescent="0.2">
      <c r="AD374" s="110"/>
    </row>
    <row r="375" spans="30:30" x14ac:dyDescent="0.2">
      <c r="AD375" s="110"/>
    </row>
    <row r="376" spans="30:30" x14ac:dyDescent="0.2">
      <c r="AD376" s="110"/>
    </row>
    <row r="377" spans="30:30" x14ac:dyDescent="0.2">
      <c r="AD377" s="110"/>
    </row>
    <row r="378" spans="30:30" x14ac:dyDescent="0.2">
      <c r="AD378" s="110"/>
    </row>
    <row r="379" spans="30:30" x14ac:dyDescent="0.2">
      <c r="AD379" s="110"/>
    </row>
    <row r="380" spans="30:30" x14ac:dyDescent="0.2">
      <c r="AD380" s="110"/>
    </row>
    <row r="381" spans="30:30" x14ac:dyDescent="0.2">
      <c r="AD381" s="110"/>
    </row>
    <row r="382" spans="30:30" x14ac:dyDescent="0.2">
      <c r="AD382" s="110"/>
    </row>
    <row r="383" spans="30:30" x14ac:dyDescent="0.2">
      <c r="AD383" s="110"/>
    </row>
    <row r="384" spans="30:30" x14ac:dyDescent="0.2">
      <c r="AD384" s="110"/>
    </row>
    <row r="385" spans="30:30" x14ac:dyDescent="0.2">
      <c r="AD385" s="110"/>
    </row>
    <row r="386" spans="30:30" x14ac:dyDescent="0.2">
      <c r="AD386" s="110"/>
    </row>
    <row r="387" spans="30:30" x14ac:dyDescent="0.2">
      <c r="AD387" s="110"/>
    </row>
    <row r="388" spans="30:30" x14ac:dyDescent="0.2">
      <c r="AD388" s="110"/>
    </row>
    <row r="389" spans="30:30" x14ac:dyDescent="0.2">
      <c r="AD389" s="110"/>
    </row>
    <row r="390" spans="30:30" x14ac:dyDescent="0.2">
      <c r="AD390" s="110"/>
    </row>
    <row r="391" spans="30:30" x14ac:dyDescent="0.2">
      <c r="AD391" s="110"/>
    </row>
    <row r="392" spans="30:30" x14ac:dyDescent="0.2">
      <c r="AD392" s="110"/>
    </row>
    <row r="393" spans="30:30" x14ac:dyDescent="0.2">
      <c r="AD393" s="110"/>
    </row>
    <row r="394" spans="30:30" x14ac:dyDescent="0.2">
      <c r="AD394" s="110"/>
    </row>
    <row r="395" spans="30:30" x14ac:dyDescent="0.2">
      <c r="AD395" s="110"/>
    </row>
    <row r="396" spans="30:30" x14ac:dyDescent="0.2">
      <c r="AD396" s="110"/>
    </row>
    <row r="397" spans="30:30" x14ac:dyDescent="0.2">
      <c r="AD397" s="110"/>
    </row>
    <row r="398" spans="30:30" x14ac:dyDescent="0.2">
      <c r="AD398" s="110"/>
    </row>
    <row r="399" spans="30:30" x14ac:dyDescent="0.2">
      <c r="AD399" s="110"/>
    </row>
    <row r="400" spans="30:30" x14ac:dyDescent="0.2">
      <c r="AD400" s="110"/>
    </row>
    <row r="401" spans="30:30" x14ac:dyDescent="0.2">
      <c r="AD401" s="110"/>
    </row>
    <row r="402" spans="30:30" x14ac:dyDescent="0.2">
      <c r="AD402" s="110"/>
    </row>
    <row r="403" spans="30:30" x14ac:dyDescent="0.2">
      <c r="AD403" s="110"/>
    </row>
    <row r="404" spans="30:30" x14ac:dyDescent="0.2">
      <c r="AD404" s="110"/>
    </row>
    <row r="405" spans="30:30" x14ac:dyDescent="0.2">
      <c r="AD405" s="110"/>
    </row>
    <row r="406" spans="30:30" x14ac:dyDescent="0.2">
      <c r="AD406" s="110"/>
    </row>
    <row r="407" spans="30:30" x14ac:dyDescent="0.2">
      <c r="AD407" s="110"/>
    </row>
    <row r="408" spans="30:30" x14ac:dyDescent="0.2">
      <c r="AD408" s="110"/>
    </row>
    <row r="409" spans="30:30" x14ac:dyDescent="0.2">
      <c r="AD409" s="110"/>
    </row>
    <row r="410" spans="30:30" x14ac:dyDescent="0.2">
      <c r="AD410" s="110"/>
    </row>
    <row r="411" spans="30:30" x14ac:dyDescent="0.2">
      <c r="AD411" s="110"/>
    </row>
    <row r="412" spans="30:30" x14ac:dyDescent="0.2">
      <c r="AD412" s="110"/>
    </row>
    <row r="413" spans="30:30" x14ac:dyDescent="0.2">
      <c r="AD413" s="110"/>
    </row>
    <row r="414" spans="30:30" x14ac:dyDescent="0.2">
      <c r="AD414" s="110"/>
    </row>
    <row r="415" spans="30:30" x14ac:dyDescent="0.2">
      <c r="AD415" s="110"/>
    </row>
    <row r="416" spans="30:30" x14ac:dyDescent="0.2">
      <c r="AD416" s="110"/>
    </row>
    <row r="417" spans="30:30" x14ac:dyDescent="0.2">
      <c r="AD417" s="110"/>
    </row>
    <row r="418" spans="30:30" x14ac:dyDescent="0.2">
      <c r="AD418" s="110"/>
    </row>
    <row r="419" spans="30:30" x14ac:dyDescent="0.2">
      <c r="AD419" s="110"/>
    </row>
    <row r="420" spans="30:30" x14ac:dyDescent="0.2">
      <c r="AD420" s="110"/>
    </row>
    <row r="421" spans="30:30" x14ac:dyDescent="0.2">
      <c r="AD421" s="110"/>
    </row>
    <row r="422" spans="30:30" x14ac:dyDescent="0.2">
      <c r="AD422" s="110"/>
    </row>
    <row r="423" spans="30:30" x14ac:dyDescent="0.2">
      <c r="AD423" s="110"/>
    </row>
    <row r="424" spans="30:30" x14ac:dyDescent="0.2">
      <c r="AD424" s="110"/>
    </row>
    <row r="425" spans="30:30" x14ac:dyDescent="0.2">
      <c r="AD425" s="110"/>
    </row>
    <row r="426" spans="30:30" x14ac:dyDescent="0.2">
      <c r="AD426" s="110"/>
    </row>
    <row r="427" spans="30:30" x14ac:dyDescent="0.2">
      <c r="AD427" s="110"/>
    </row>
    <row r="428" spans="30:30" x14ac:dyDescent="0.2">
      <c r="AD428" s="110"/>
    </row>
    <row r="429" spans="30:30" x14ac:dyDescent="0.2">
      <c r="AD429" s="110"/>
    </row>
    <row r="430" spans="30:30" x14ac:dyDescent="0.2">
      <c r="AD430" s="110"/>
    </row>
    <row r="431" spans="30:30" x14ac:dyDescent="0.2">
      <c r="AD431" s="110"/>
    </row>
    <row r="432" spans="30:30" x14ac:dyDescent="0.2">
      <c r="AD432" s="110"/>
    </row>
    <row r="433" spans="30:30" x14ac:dyDescent="0.2">
      <c r="AD433" s="110"/>
    </row>
    <row r="434" spans="30:30" x14ac:dyDescent="0.2">
      <c r="AD434" s="110"/>
    </row>
    <row r="435" spans="30:30" x14ac:dyDescent="0.2">
      <c r="AD435" s="110"/>
    </row>
    <row r="436" spans="30:30" x14ac:dyDescent="0.2">
      <c r="AD436" s="110"/>
    </row>
    <row r="437" spans="30:30" x14ac:dyDescent="0.2">
      <c r="AD437" s="110"/>
    </row>
    <row r="438" spans="30:30" x14ac:dyDescent="0.2">
      <c r="AD438" s="110"/>
    </row>
    <row r="439" spans="30:30" x14ac:dyDescent="0.2">
      <c r="AD439" s="110"/>
    </row>
    <row r="440" spans="30:30" x14ac:dyDescent="0.2">
      <c r="AD440" s="110"/>
    </row>
    <row r="441" spans="30:30" x14ac:dyDescent="0.2">
      <c r="AD441" s="110"/>
    </row>
    <row r="442" spans="30:30" x14ac:dyDescent="0.2">
      <c r="AD442" s="110"/>
    </row>
    <row r="443" spans="30:30" x14ac:dyDescent="0.2">
      <c r="AD443" s="110"/>
    </row>
    <row r="444" spans="30:30" x14ac:dyDescent="0.2">
      <c r="AD444" s="110"/>
    </row>
    <row r="445" spans="30:30" x14ac:dyDescent="0.2">
      <c r="AD445" s="110"/>
    </row>
    <row r="446" spans="30:30" x14ac:dyDescent="0.2">
      <c r="AD446" s="110"/>
    </row>
  </sheetData>
  <printOptions horizontalCentered="1"/>
  <pageMargins left="0" right="0" top="1" bottom="0" header="0" footer="0"/>
  <pageSetup paperSize="17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4223-2317-4FC8-8813-A3460440B711}">
  <dimension ref="A1:AX73"/>
  <sheetViews>
    <sheetView workbookViewId="0">
      <selection activeCell="B1" sqref="B1:C2"/>
    </sheetView>
  </sheetViews>
  <sheetFormatPr defaultColWidth="9.140625" defaultRowHeight="12.75" x14ac:dyDescent="0.2"/>
  <cols>
    <col min="1" max="1" width="39.140625" style="411" bestFit="1" customWidth="1"/>
    <col min="2" max="44" width="9.140625" style="411"/>
    <col min="45" max="45" width="11.28515625" style="411" customWidth="1"/>
    <col min="46" max="46" width="10.28515625" style="411" bestFit="1" customWidth="1"/>
    <col min="47" max="47" width="9.140625" style="411"/>
    <col min="48" max="48" width="10.28515625" style="411" bestFit="1" customWidth="1"/>
    <col min="49" max="16384" width="9.140625" style="411"/>
  </cols>
  <sheetData>
    <row r="1" spans="1:49" x14ac:dyDescent="0.2">
      <c r="B1" s="1088" t="s">
        <v>525</v>
      </c>
      <c r="C1" s="1088"/>
    </row>
    <row r="2" spans="1:49" x14ac:dyDescent="0.2">
      <c r="B2" s="1088" t="s">
        <v>517</v>
      </c>
      <c r="C2" s="1088"/>
    </row>
    <row r="3" spans="1:49" ht="13.5" thickBot="1" x14ac:dyDescent="0.25">
      <c r="A3" s="940" t="s">
        <v>493</v>
      </c>
      <c r="D3" s="652"/>
      <c r="E3" s="652"/>
      <c r="X3" s="429"/>
      <c r="Y3" s="429"/>
      <c r="Z3" s="429"/>
      <c r="AA3" s="429"/>
      <c r="AB3" s="429"/>
      <c r="AC3" s="657"/>
      <c r="AD3" s="657"/>
      <c r="AE3" s="657"/>
      <c r="AF3" s="657"/>
      <c r="AG3" s="657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657"/>
      <c r="AT3" s="507"/>
      <c r="AU3" s="507"/>
    </row>
    <row r="4" spans="1:49" ht="13.5" thickTop="1" x14ac:dyDescent="0.2">
      <c r="A4" s="942"/>
      <c r="B4" s="943"/>
      <c r="C4" s="944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4"/>
      <c r="T4" s="943"/>
      <c r="U4" s="943"/>
      <c r="V4" s="946"/>
      <c r="W4" s="947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948"/>
      <c r="AN4" s="948"/>
      <c r="AO4" s="948"/>
      <c r="AP4" s="948"/>
      <c r="AQ4" s="948"/>
      <c r="AR4" s="948"/>
      <c r="AS4" s="948"/>
      <c r="AT4" s="507"/>
      <c r="AU4" s="507"/>
    </row>
    <row r="5" spans="1:49" s="507" customFormat="1" ht="13.5" thickBot="1" x14ac:dyDescent="0.25">
      <c r="A5" s="808" t="s">
        <v>457</v>
      </c>
      <c r="B5" s="809">
        <v>1981</v>
      </c>
      <c r="C5" s="809">
        <v>1982</v>
      </c>
      <c r="D5" s="809">
        <v>1983</v>
      </c>
      <c r="E5" s="809">
        <v>1984</v>
      </c>
      <c r="F5" s="809">
        <v>1985</v>
      </c>
      <c r="G5" s="809">
        <v>1986</v>
      </c>
      <c r="H5" s="809">
        <v>1987</v>
      </c>
      <c r="I5" s="809">
        <v>1988</v>
      </c>
      <c r="J5" s="809">
        <v>1989</v>
      </c>
      <c r="K5" s="809">
        <v>1990</v>
      </c>
      <c r="L5" s="809">
        <v>1991</v>
      </c>
      <c r="M5" s="809">
        <v>1992</v>
      </c>
      <c r="N5" s="809">
        <v>1993</v>
      </c>
      <c r="O5" s="809">
        <v>1994</v>
      </c>
      <c r="P5" s="809">
        <v>1995</v>
      </c>
      <c r="Q5" s="809">
        <v>1996</v>
      </c>
      <c r="R5" s="809">
        <v>1997</v>
      </c>
      <c r="S5" s="954">
        <v>1998</v>
      </c>
      <c r="T5" s="954">
        <v>1999</v>
      </c>
      <c r="U5" s="809">
        <v>2000</v>
      </c>
      <c r="V5" s="809">
        <v>2001</v>
      </c>
      <c r="W5" s="809">
        <v>2002</v>
      </c>
      <c r="X5" s="809">
        <v>2003</v>
      </c>
      <c r="Y5" s="809">
        <v>2004</v>
      </c>
      <c r="Z5" s="809">
        <v>2005</v>
      </c>
      <c r="AA5" s="956">
        <v>2006</v>
      </c>
      <c r="AB5" s="956">
        <v>2007</v>
      </c>
      <c r="AC5" s="956">
        <v>2008</v>
      </c>
      <c r="AD5" s="956">
        <v>2009</v>
      </c>
      <c r="AE5" s="956">
        <v>2010</v>
      </c>
      <c r="AF5" s="956">
        <v>2011</v>
      </c>
      <c r="AG5" s="1044">
        <v>2012</v>
      </c>
      <c r="AH5" s="1044">
        <v>2013</v>
      </c>
      <c r="AI5" s="1044">
        <v>2014</v>
      </c>
      <c r="AJ5" s="1044">
        <v>2015</v>
      </c>
      <c r="AK5" s="1044">
        <v>2016</v>
      </c>
      <c r="AL5" s="1044">
        <v>2017</v>
      </c>
      <c r="AM5" s="1044">
        <v>2018</v>
      </c>
      <c r="AN5" s="1044">
        <v>2019</v>
      </c>
      <c r="AO5" s="1044">
        <v>2020</v>
      </c>
      <c r="AP5" s="1044">
        <v>2021</v>
      </c>
      <c r="AQ5" s="1044">
        <v>2022</v>
      </c>
      <c r="AR5" s="1044">
        <v>2023</v>
      </c>
      <c r="AS5" s="955" t="s">
        <v>458</v>
      </c>
      <c r="AT5" s="507" t="s">
        <v>494</v>
      </c>
      <c r="AU5" s="1045" t="s">
        <v>495</v>
      </c>
      <c r="AV5" s="507">
        <v>2022</v>
      </c>
    </row>
    <row r="6" spans="1:49" s="307" customFormat="1" ht="12" thickTop="1" x14ac:dyDescent="0.2">
      <c r="A6" s="378" t="s">
        <v>459</v>
      </c>
      <c r="B6" s="49">
        <f>SUM(B58:B60)</f>
        <v>48386</v>
      </c>
      <c r="C6" s="49">
        <f t="shared" ref="C6:AR6" si="0">SUM(C58:C60)</f>
        <v>74536</v>
      </c>
      <c r="D6" s="49">
        <f t="shared" si="0"/>
        <v>79603</v>
      </c>
      <c r="E6" s="49">
        <f t="shared" si="0"/>
        <v>123798</v>
      </c>
      <c r="F6" s="49">
        <f t="shared" si="0"/>
        <v>111230</v>
      </c>
      <c r="G6" s="49">
        <f t="shared" si="0"/>
        <v>115747</v>
      </c>
      <c r="H6" s="49">
        <f t="shared" si="0"/>
        <v>93788</v>
      </c>
      <c r="I6" s="49">
        <f t="shared" si="0"/>
        <v>85886</v>
      </c>
      <c r="J6" s="49">
        <f t="shared" si="0"/>
        <v>83831</v>
      </c>
      <c r="K6" s="49">
        <f t="shared" si="0"/>
        <v>79773</v>
      </c>
      <c r="L6" s="49">
        <f t="shared" si="0"/>
        <v>76184</v>
      </c>
      <c r="M6" s="50">
        <f t="shared" si="0"/>
        <v>73596</v>
      </c>
      <c r="N6" s="50">
        <f t="shared" si="0"/>
        <v>85224</v>
      </c>
      <c r="O6" s="49">
        <f t="shared" si="0"/>
        <v>84554</v>
      </c>
      <c r="P6" s="49">
        <f t="shared" si="0"/>
        <v>81047</v>
      </c>
      <c r="Q6" s="49">
        <f t="shared" si="0"/>
        <v>68590</v>
      </c>
      <c r="R6" s="49">
        <f t="shared" si="0"/>
        <v>56418</v>
      </c>
      <c r="S6" s="49">
        <f t="shared" si="0"/>
        <v>43192</v>
      </c>
      <c r="T6" s="49">
        <f t="shared" si="0"/>
        <v>35054</v>
      </c>
      <c r="U6" s="49">
        <f t="shared" si="0"/>
        <v>42046</v>
      </c>
      <c r="V6" s="49">
        <f t="shared" si="0"/>
        <v>123952</v>
      </c>
      <c r="W6" s="49">
        <f t="shared" si="0"/>
        <v>96879</v>
      </c>
      <c r="X6" s="49">
        <f t="shared" si="0"/>
        <v>109132</v>
      </c>
      <c r="Y6" s="50">
        <f t="shared" si="0"/>
        <v>109781</v>
      </c>
      <c r="Z6" s="50">
        <f t="shared" si="0"/>
        <v>116903</v>
      </c>
      <c r="AA6" s="50">
        <f t="shared" si="0"/>
        <v>155398</v>
      </c>
      <c r="AB6" s="50">
        <f t="shared" si="0"/>
        <v>165575</v>
      </c>
      <c r="AC6" s="50">
        <f t="shared" si="0"/>
        <v>158580</v>
      </c>
      <c r="AD6" s="50">
        <f t="shared" si="0"/>
        <v>172667</v>
      </c>
      <c r="AE6" s="50">
        <f t="shared" si="0"/>
        <v>139837</v>
      </c>
      <c r="AF6" s="50">
        <f t="shared" si="0"/>
        <v>159620</v>
      </c>
      <c r="AG6" s="50">
        <f t="shared" si="0"/>
        <v>145069</v>
      </c>
      <c r="AH6" s="50">
        <f t="shared" si="0"/>
        <v>147012</v>
      </c>
      <c r="AI6" s="50">
        <f t="shared" si="0"/>
        <v>197794</v>
      </c>
      <c r="AJ6" s="50">
        <f t="shared" si="0"/>
        <v>149405</v>
      </c>
      <c r="AK6" s="50">
        <f t="shared" si="0"/>
        <v>112878</v>
      </c>
      <c r="AL6" s="50">
        <f t="shared" si="0"/>
        <v>111618</v>
      </c>
      <c r="AM6" s="50">
        <f t="shared" si="0"/>
        <v>66409</v>
      </c>
      <c r="AN6" s="50">
        <f t="shared" si="0"/>
        <v>117361</v>
      </c>
      <c r="AO6" s="50">
        <f t="shared" si="0"/>
        <v>103647</v>
      </c>
      <c r="AP6" s="50">
        <f t="shared" si="0"/>
        <v>84878</v>
      </c>
      <c r="AQ6" s="50">
        <f t="shared" si="0"/>
        <v>82631</v>
      </c>
      <c r="AR6" s="167">
        <f t="shared" si="0"/>
        <v>87050</v>
      </c>
      <c r="AS6" s="266">
        <f>SUM(B6:AR6)</f>
        <v>4456559</v>
      </c>
      <c r="AT6" s="1046">
        <f>SUM(B6:AI6)</f>
        <v>3540682</v>
      </c>
      <c r="AU6" s="1047">
        <f>SUM(AJ6:AN6)</f>
        <v>557671</v>
      </c>
      <c r="AV6" s="1047">
        <v>4369509</v>
      </c>
      <c r="AW6" s="339">
        <f>+AV6-AS6</f>
        <v>-87050</v>
      </c>
    </row>
    <row r="7" spans="1:49" s="307" customFormat="1" ht="11.25" x14ac:dyDescent="0.2">
      <c r="A7" s="378" t="s">
        <v>462</v>
      </c>
      <c r="B7" s="49"/>
      <c r="C7" s="49"/>
      <c r="D7" s="49"/>
      <c r="E7" s="49"/>
      <c r="F7" s="49"/>
      <c r="G7" s="49"/>
      <c r="H7" s="49">
        <v>977</v>
      </c>
      <c r="I7" s="49">
        <v>7646</v>
      </c>
      <c r="J7" s="49">
        <v>23973</v>
      </c>
      <c r="K7" s="49">
        <v>62173</v>
      </c>
      <c r="L7" s="49">
        <v>66640</v>
      </c>
      <c r="M7" s="50">
        <v>62667</v>
      </c>
      <c r="N7" s="50">
        <v>69528</v>
      </c>
      <c r="O7" s="49">
        <v>70609</v>
      </c>
      <c r="P7" s="49">
        <v>60870</v>
      </c>
      <c r="Q7" s="49">
        <v>54822</v>
      </c>
      <c r="R7" s="49">
        <v>52335</v>
      </c>
      <c r="S7" s="49">
        <v>42090</v>
      </c>
      <c r="T7" s="49">
        <v>41016</v>
      </c>
      <c r="U7" s="49">
        <v>41462</v>
      </c>
      <c r="V7" s="49">
        <v>16479</v>
      </c>
      <c r="W7" s="49">
        <v>29975</v>
      </c>
      <c r="X7" s="49">
        <v>10170</v>
      </c>
      <c r="Y7" s="50">
        <v>2146</v>
      </c>
      <c r="Z7" s="50">
        <v>6150</v>
      </c>
      <c r="AA7" s="50">
        <v>20667</v>
      </c>
      <c r="AB7" s="50">
        <v>19174</v>
      </c>
      <c r="AC7" s="50">
        <v>11237</v>
      </c>
      <c r="AD7" s="50">
        <v>12159</v>
      </c>
      <c r="AE7" s="50">
        <v>6826</v>
      </c>
      <c r="AF7" s="50">
        <v>8021</v>
      </c>
      <c r="AG7" s="50">
        <v>13910</v>
      </c>
      <c r="AH7" s="50">
        <v>15370</v>
      </c>
      <c r="AI7" s="50">
        <v>10395</v>
      </c>
      <c r="AJ7" s="50">
        <v>4422</v>
      </c>
      <c r="AK7" s="50">
        <v>7302</v>
      </c>
      <c r="AL7" s="50">
        <v>7226</v>
      </c>
      <c r="AM7" s="50">
        <v>7771</v>
      </c>
      <c r="AN7" s="50">
        <v>8631</v>
      </c>
      <c r="AO7" s="50">
        <v>4674</v>
      </c>
      <c r="AP7" s="167">
        <v>3002</v>
      </c>
      <c r="AQ7" s="167">
        <v>3300</v>
      </c>
      <c r="AR7" s="167">
        <v>3406</v>
      </c>
      <c r="AS7" s="266">
        <f t="shared" ref="AS7:AS12" si="1">SUM(B7:AR7)</f>
        <v>889221</v>
      </c>
      <c r="AT7" s="1046">
        <f t="shared" ref="AT7:AT12" si="2">SUM(B7:AI7)</f>
        <v>839487</v>
      </c>
      <c r="AU7" s="1047">
        <f t="shared" ref="AU7:AU35" si="3">SUM(AJ7:AN7)</f>
        <v>35352</v>
      </c>
      <c r="AV7" s="339">
        <v>885815</v>
      </c>
      <c r="AW7" s="339">
        <f>+AV7-AS7</f>
        <v>-3406</v>
      </c>
    </row>
    <row r="8" spans="1:49" s="307" customFormat="1" ht="11.25" x14ac:dyDescent="0.2">
      <c r="A8" s="378" t="s">
        <v>59</v>
      </c>
      <c r="B8" s="49"/>
      <c r="C8" s="49">
        <v>10169</v>
      </c>
      <c r="D8" s="49">
        <v>20018</v>
      </c>
      <c r="E8" s="49">
        <v>29213</v>
      </c>
      <c r="F8" s="49">
        <v>36308</v>
      </c>
      <c r="G8" s="49">
        <v>44456</v>
      </c>
      <c r="H8" s="49">
        <v>39429</v>
      </c>
      <c r="I8" s="49">
        <v>8353</v>
      </c>
      <c r="J8" s="49"/>
      <c r="K8" s="49"/>
      <c r="L8" s="49">
        <v>14609</v>
      </c>
      <c r="M8" s="50">
        <v>26326</v>
      </c>
      <c r="N8" s="50">
        <v>41370</v>
      </c>
      <c r="O8" s="49">
        <v>47153</v>
      </c>
      <c r="P8" s="49">
        <v>56680</v>
      </c>
      <c r="Q8" s="49">
        <v>74238</v>
      </c>
      <c r="R8" s="49">
        <v>81708</v>
      </c>
      <c r="S8" s="49">
        <v>81689</v>
      </c>
      <c r="T8" s="49">
        <v>69920</v>
      </c>
      <c r="U8" s="49">
        <v>72499</v>
      </c>
      <c r="V8" s="49">
        <v>60418</v>
      </c>
      <c r="W8" s="49">
        <v>65056</v>
      </c>
      <c r="X8" s="49">
        <v>49778</v>
      </c>
      <c r="Y8" s="50">
        <v>55322</v>
      </c>
      <c r="Z8" s="50">
        <v>54466</v>
      </c>
      <c r="AA8" s="50">
        <v>54812</v>
      </c>
      <c r="AB8" s="50">
        <v>33516</v>
      </c>
      <c r="AC8" s="50">
        <v>48332</v>
      </c>
      <c r="AD8" s="50">
        <v>63453</v>
      </c>
      <c r="AE8" s="50">
        <v>99897</v>
      </c>
      <c r="AF8" s="50">
        <v>113907</v>
      </c>
      <c r="AG8" s="50">
        <v>101156</v>
      </c>
      <c r="AH8" s="50">
        <v>105164</v>
      </c>
      <c r="AI8" s="50">
        <v>121349</v>
      </c>
      <c r="AJ8" s="50">
        <v>93077</v>
      </c>
      <c r="AK8" s="50">
        <v>26574</v>
      </c>
      <c r="AL8" s="50">
        <v>26590</v>
      </c>
      <c r="AM8" s="50">
        <v>23125</v>
      </c>
      <c r="AN8" s="50">
        <v>20082</v>
      </c>
      <c r="AO8" s="50">
        <v>20399</v>
      </c>
      <c r="AP8" s="167">
        <v>18477</v>
      </c>
      <c r="AQ8" s="167">
        <v>23885</v>
      </c>
      <c r="AR8" s="167">
        <v>18403</v>
      </c>
      <c r="AS8" s="266">
        <f t="shared" si="1"/>
        <v>2051376</v>
      </c>
      <c r="AT8" s="1046">
        <f t="shared" si="2"/>
        <v>1780764</v>
      </c>
      <c r="AU8" s="1047">
        <f t="shared" si="3"/>
        <v>189448</v>
      </c>
      <c r="AV8" s="339">
        <v>2032973</v>
      </c>
      <c r="AW8" s="339">
        <f t="shared" ref="AW8:AW12" si="4">+AV8-AS8</f>
        <v>-18403</v>
      </c>
    </row>
    <row r="9" spans="1:49" s="307" customFormat="1" ht="11.25" x14ac:dyDescent="0.2">
      <c r="A9" s="378" t="s">
        <v>54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  <c r="N9" s="50"/>
      <c r="O9" s="49"/>
      <c r="P9" s="49"/>
      <c r="Q9" s="49"/>
      <c r="R9" s="49"/>
      <c r="S9" s="49">
        <v>258</v>
      </c>
      <c r="T9" s="49">
        <v>308</v>
      </c>
      <c r="U9" s="49">
        <v>708</v>
      </c>
      <c r="V9" s="49">
        <v>1204</v>
      </c>
      <c r="W9" s="49">
        <v>1303</v>
      </c>
      <c r="X9" s="49">
        <v>1668</v>
      </c>
      <c r="Y9" s="50">
        <v>2032</v>
      </c>
      <c r="Z9" s="50">
        <v>2630</v>
      </c>
      <c r="AA9" s="50">
        <v>4376</v>
      </c>
      <c r="AB9" s="50">
        <v>4084</v>
      </c>
      <c r="AC9" s="50">
        <v>2297</v>
      </c>
      <c r="AD9" s="50">
        <v>1647</v>
      </c>
      <c r="AE9" s="50">
        <v>2089</v>
      </c>
      <c r="AF9" s="50">
        <v>2317</v>
      </c>
      <c r="AG9" s="50">
        <v>2943</v>
      </c>
      <c r="AH9" s="50">
        <v>2600</v>
      </c>
      <c r="AI9" s="50">
        <v>3503</v>
      </c>
      <c r="AJ9" s="50">
        <v>3000</v>
      </c>
      <c r="AK9" s="50">
        <v>2399</v>
      </c>
      <c r="AL9" s="50">
        <v>2648</v>
      </c>
      <c r="AM9" s="50">
        <v>3514</v>
      </c>
      <c r="AN9" s="50">
        <v>3498</v>
      </c>
      <c r="AO9" s="50">
        <v>3686</v>
      </c>
      <c r="AP9" s="167">
        <v>4036</v>
      </c>
      <c r="AQ9" s="167">
        <v>5231</v>
      </c>
      <c r="AR9" s="167">
        <v>3841</v>
      </c>
      <c r="AS9" s="266">
        <f t="shared" si="1"/>
        <v>67820</v>
      </c>
      <c r="AT9" s="1046">
        <f t="shared" si="2"/>
        <v>35967</v>
      </c>
      <c r="AU9" s="1047">
        <f t="shared" si="3"/>
        <v>15059</v>
      </c>
      <c r="AV9" s="307">
        <v>63979</v>
      </c>
      <c r="AW9" s="339">
        <f t="shared" si="4"/>
        <v>-3841</v>
      </c>
    </row>
    <row r="10" spans="1:49" s="307" customFormat="1" ht="11.25" x14ac:dyDescent="0.2">
      <c r="A10" s="378" t="s">
        <v>55</v>
      </c>
      <c r="B10" s="267">
        <v>215</v>
      </c>
      <c r="C10" s="267">
        <v>8715</v>
      </c>
      <c r="D10" s="267">
        <v>11875</v>
      </c>
      <c r="E10" s="267">
        <v>15428</v>
      </c>
      <c r="F10" s="267">
        <v>20536</v>
      </c>
      <c r="G10" s="267">
        <v>19794</v>
      </c>
      <c r="H10" s="267">
        <v>18590</v>
      </c>
      <c r="I10" s="267">
        <v>14340</v>
      </c>
      <c r="J10" s="267">
        <v>11141</v>
      </c>
      <c r="K10" s="267">
        <v>12412</v>
      </c>
      <c r="L10" s="267">
        <v>13512</v>
      </c>
      <c r="M10" s="51">
        <v>18497</v>
      </c>
      <c r="N10" s="51">
        <v>21433</v>
      </c>
      <c r="O10" s="267">
        <v>20494</v>
      </c>
      <c r="P10" s="267">
        <v>17389</v>
      </c>
      <c r="Q10" s="267">
        <v>30218</v>
      </c>
      <c r="R10" s="267">
        <v>45864</v>
      </c>
      <c r="S10" s="267">
        <v>32271</v>
      </c>
      <c r="T10" s="267">
        <v>16572</v>
      </c>
      <c r="U10" s="267">
        <v>13866</v>
      </c>
      <c r="V10" s="267">
        <v>25014</v>
      </c>
      <c r="W10" s="267">
        <v>25588</v>
      </c>
      <c r="X10" s="267">
        <v>17891</v>
      </c>
      <c r="Y10" s="51">
        <v>10982</v>
      </c>
      <c r="Z10" s="51">
        <v>6149</v>
      </c>
      <c r="AA10" s="51">
        <v>6112</v>
      </c>
      <c r="AB10" s="51">
        <v>15769</v>
      </c>
      <c r="AC10" s="51">
        <v>20807</v>
      </c>
      <c r="AD10" s="51">
        <v>11103</v>
      </c>
      <c r="AE10" s="51">
        <v>14041</v>
      </c>
      <c r="AF10" s="51">
        <v>13675</v>
      </c>
      <c r="AG10" s="51">
        <v>11639</v>
      </c>
      <c r="AH10" s="51">
        <v>8420</v>
      </c>
      <c r="AI10" s="51">
        <v>8752</v>
      </c>
      <c r="AJ10" s="51">
        <v>9105</v>
      </c>
      <c r="AK10" s="51">
        <v>3909</v>
      </c>
      <c r="AL10" s="51">
        <v>3600</v>
      </c>
      <c r="AM10" s="51">
        <v>3378</v>
      </c>
      <c r="AN10" s="51">
        <v>3662</v>
      </c>
      <c r="AO10" s="51">
        <v>1444</v>
      </c>
      <c r="AP10" s="209">
        <v>1503</v>
      </c>
      <c r="AQ10" s="209">
        <v>1687</v>
      </c>
      <c r="AR10" s="209">
        <v>2952</v>
      </c>
      <c r="AS10" s="266">
        <f t="shared" si="1"/>
        <v>590344</v>
      </c>
      <c r="AT10" s="1046">
        <f t="shared" si="2"/>
        <v>559104</v>
      </c>
      <c r="AU10" s="1047">
        <f t="shared" si="3"/>
        <v>23654</v>
      </c>
      <c r="AV10" s="307">
        <v>587392</v>
      </c>
      <c r="AW10" s="339">
        <f t="shared" si="4"/>
        <v>-2952</v>
      </c>
    </row>
    <row r="11" spans="1:49" s="307" customFormat="1" ht="11.25" x14ac:dyDescent="0.2">
      <c r="A11" s="378" t="s">
        <v>17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  <c r="N11" s="50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50">
        <v>13</v>
      </c>
      <c r="Z11" s="50">
        <v>132</v>
      </c>
      <c r="AA11" s="50">
        <v>331</v>
      </c>
      <c r="AB11" s="50">
        <v>409</v>
      </c>
      <c r="AC11" s="50">
        <v>620</v>
      </c>
      <c r="AD11" s="50">
        <v>456</v>
      </c>
      <c r="AE11" s="50">
        <v>837</v>
      </c>
      <c r="AF11" s="50">
        <v>1666</v>
      </c>
      <c r="AG11" s="50">
        <v>2505</v>
      </c>
      <c r="AH11" s="50">
        <v>844</v>
      </c>
      <c r="AI11" s="50">
        <v>884</v>
      </c>
      <c r="AJ11" s="50">
        <v>264</v>
      </c>
      <c r="AK11" s="50">
        <v>1054</v>
      </c>
      <c r="AL11" s="50">
        <v>2376</v>
      </c>
      <c r="AM11" s="50">
        <v>2295</v>
      </c>
      <c r="AN11" s="50">
        <v>2796</v>
      </c>
      <c r="AO11" s="50">
        <v>3137</v>
      </c>
      <c r="AP11" s="167">
        <v>8502</v>
      </c>
      <c r="AQ11" s="167">
        <v>11054</v>
      </c>
      <c r="AR11" s="167">
        <v>11254</v>
      </c>
      <c r="AS11" s="266">
        <f t="shared" si="1"/>
        <v>51429</v>
      </c>
      <c r="AT11" s="1046">
        <f t="shared" si="2"/>
        <v>8697</v>
      </c>
      <c r="AU11" s="1047">
        <f t="shared" si="3"/>
        <v>8785</v>
      </c>
      <c r="AV11" s="307">
        <v>40175</v>
      </c>
      <c r="AW11" s="339">
        <f t="shared" si="4"/>
        <v>-11254</v>
      </c>
    </row>
    <row r="12" spans="1:49" s="307" customFormat="1" ht="11.25" x14ac:dyDescent="0.2">
      <c r="A12" s="378" t="s">
        <v>496</v>
      </c>
      <c r="B12" s="49">
        <f>SUM(B62:B63)</f>
        <v>0</v>
      </c>
      <c r="C12" s="49">
        <f t="shared" ref="C12:AN12" si="5">SUM(C62:C63)</f>
        <v>0</v>
      </c>
      <c r="D12" s="49">
        <f t="shared" si="5"/>
        <v>0</v>
      </c>
      <c r="E12" s="49">
        <f t="shared" si="5"/>
        <v>0</v>
      </c>
      <c r="F12" s="49">
        <f t="shared" si="5"/>
        <v>0</v>
      </c>
      <c r="G12" s="49">
        <f t="shared" si="5"/>
        <v>0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5074</v>
      </c>
      <c r="M12" s="49">
        <f t="shared" si="5"/>
        <v>4878</v>
      </c>
      <c r="N12" s="49">
        <f t="shared" si="5"/>
        <v>4676</v>
      </c>
      <c r="O12" s="49">
        <f t="shared" si="5"/>
        <v>7209</v>
      </c>
      <c r="P12" s="49">
        <f t="shared" si="5"/>
        <v>6453</v>
      </c>
      <c r="Q12" s="49">
        <f t="shared" si="5"/>
        <v>5082</v>
      </c>
      <c r="R12" s="49">
        <f t="shared" si="5"/>
        <v>5688</v>
      </c>
      <c r="S12" s="49">
        <f t="shared" si="5"/>
        <v>4965</v>
      </c>
      <c r="T12" s="49">
        <f t="shared" si="5"/>
        <v>5415</v>
      </c>
      <c r="U12" s="49">
        <f t="shared" si="5"/>
        <v>5326</v>
      </c>
      <c r="V12" s="49">
        <f t="shared" si="5"/>
        <v>7346</v>
      </c>
      <c r="W12" s="49">
        <f t="shared" si="5"/>
        <v>6728</v>
      </c>
      <c r="X12" s="49">
        <f t="shared" si="5"/>
        <v>8691</v>
      </c>
      <c r="Y12" s="49">
        <f t="shared" si="5"/>
        <v>7590</v>
      </c>
      <c r="Z12" s="49">
        <f t="shared" si="5"/>
        <v>8544</v>
      </c>
      <c r="AA12" s="49">
        <f t="shared" si="5"/>
        <v>12140</v>
      </c>
      <c r="AB12" s="49">
        <f t="shared" si="5"/>
        <v>11755</v>
      </c>
      <c r="AC12" s="49">
        <f t="shared" si="5"/>
        <v>11598</v>
      </c>
      <c r="AD12" s="49">
        <f t="shared" si="5"/>
        <v>12036</v>
      </c>
      <c r="AE12" s="49">
        <f t="shared" si="5"/>
        <v>13228</v>
      </c>
      <c r="AF12" s="49">
        <f t="shared" si="5"/>
        <v>11690</v>
      </c>
      <c r="AG12" s="49">
        <f t="shared" si="5"/>
        <v>12089</v>
      </c>
      <c r="AH12" s="49">
        <f t="shared" si="5"/>
        <v>12101</v>
      </c>
      <c r="AI12" s="49">
        <f t="shared" si="5"/>
        <v>12822</v>
      </c>
      <c r="AJ12" s="49">
        <f t="shared" si="5"/>
        <v>12253</v>
      </c>
      <c r="AK12" s="49">
        <f t="shared" si="5"/>
        <v>12108</v>
      </c>
      <c r="AL12" s="49">
        <f t="shared" si="5"/>
        <v>11514</v>
      </c>
      <c r="AM12" s="49">
        <f t="shared" si="5"/>
        <v>8510</v>
      </c>
      <c r="AN12" s="49">
        <f t="shared" si="5"/>
        <v>6655</v>
      </c>
      <c r="AO12" s="49">
        <f>SUM(AO62:AO64)</f>
        <v>5015</v>
      </c>
      <c r="AP12" s="49">
        <f>SUM(AP62:AP64)</f>
        <v>4751</v>
      </c>
      <c r="AQ12" s="268">
        <v>5669</v>
      </c>
      <c r="AR12" s="268">
        <v>5108</v>
      </c>
      <c r="AS12" s="266">
        <f t="shared" si="1"/>
        <v>274707</v>
      </c>
      <c r="AT12" s="1046">
        <f t="shared" si="2"/>
        <v>203124</v>
      </c>
      <c r="AU12" s="1047">
        <f t="shared" si="3"/>
        <v>51040</v>
      </c>
      <c r="AV12" s="307">
        <v>269599</v>
      </c>
      <c r="AW12" s="339">
        <f t="shared" si="4"/>
        <v>-5108</v>
      </c>
    </row>
    <row r="13" spans="1:49" s="307" customFormat="1" ht="11.25" x14ac:dyDescent="0.2">
      <c r="A13" s="378" t="s">
        <v>221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50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167"/>
      <c r="AQ13" s="167"/>
      <c r="AR13" s="167"/>
      <c r="AS13" s="266"/>
      <c r="AT13" s="1046"/>
      <c r="AU13" s="1047"/>
    </row>
    <row r="14" spans="1:49" s="307" customFormat="1" ht="11.25" x14ac:dyDescent="0.2">
      <c r="A14" s="378" t="s">
        <v>235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167"/>
      <c r="AQ14" s="167"/>
      <c r="AR14" s="167"/>
      <c r="AS14" s="266"/>
      <c r="AT14" s="1046"/>
      <c r="AU14" s="1047"/>
    </row>
    <row r="15" spans="1:49" s="307" customFormat="1" ht="11.25" x14ac:dyDescent="0.2">
      <c r="A15" s="378" t="s">
        <v>237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50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167"/>
      <c r="AQ15" s="167"/>
      <c r="AR15" s="167"/>
      <c r="AS15" s="266"/>
      <c r="AT15" s="1046"/>
      <c r="AU15" s="1047"/>
    </row>
    <row r="16" spans="1:49" s="307" customFormat="1" ht="11.25" x14ac:dyDescent="0.2">
      <c r="A16" s="378" t="s">
        <v>473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>
        <v>40</v>
      </c>
      <c r="M16" s="50">
        <v>56</v>
      </c>
      <c r="N16" s="50">
        <v>893</v>
      </c>
      <c r="O16" s="49">
        <v>1392</v>
      </c>
      <c r="P16" s="49">
        <v>2937</v>
      </c>
      <c r="Q16" s="49">
        <v>2530</v>
      </c>
      <c r="R16" s="49">
        <v>790</v>
      </c>
      <c r="S16" s="49">
        <v>659</v>
      </c>
      <c r="T16" s="49">
        <f>+T41</f>
        <v>661</v>
      </c>
      <c r="U16" s="49">
        <v>648</v>
      </c>
      <c r="V16" s="49">
        <v>734</v>
      </c>
      <c r="W16" s="49">
        <v>815</v>
      </c>
      <c r="X16" s="49">
        <v>724</v>
      </c>
      <c r="Y16" s="50">
        <v>541</v>
      </c>
      <c r="Z16" s="50">
        <v>454</v>
      </c>
      <c r="AA16" s="50">
        <v>304</v>
      </c>
      <c r="AB16" s="50">
        <v>303</v>
      </c>
      <c r="AC16" s="50">
        <v>426</v>
      </c>
      <c r="AD16" s="50">
        <v>367</v>
      </c>
      <c r="AE16" s="50">
        <v>463</v>
      </c>
      <c r="AF16" s="50">
        <v>582</v>
      </c>
      <c r="AG16" s="50">
        <v>636</v>
      </c>
      <c r="AH16" s="50">
        <v>538</v>
      </c>
      <c r="AI16" s="50">
        <v>571</v>
      </c>
      <c r="AJ16" s="50">
        <v>449</v>
      </c>
      <c r="AK16" s="50">
        <v>596</v>
      </c>
      <c r="AL16" s="50">
        <v>500</v>
      </c>
      <c r="AM16" s="50">
        <v>643</v>
      </c>
      <c r="AN16" s="50">
        <f>+AN41</f>
        <v>1252</v>
      </c>
      <c r="AO16" s="50">
        <f>+AO41</f>
        <v>727</v>
      </c>
      <c r="AP16" s="50">
        <f>+AP41</f>
        <v>330</v>
      </c>
      <c r="AQ16" s="50">
        <f>+AQ41</f>
        <v>236</v>
      </c>
      <c r="AR16" s="167">
        <f>+AR41</f>
        <v>1402</v>
      </c>
      <c r="AS16" s="266">
        <f>SUM(B16:AR16)</f>
        <v>24199</v>
      </c>
      <c r="AT16" s="1046">
        <f t="shared" ref="AT16:AT39" si="6">SUM(B16:AI16)</f>
        <v>18064</v>
      </c>
      <c r="AU16" s="1047">
        <f t="shared" si="3"/>
        <v>3440</v>
      </c>
    </row>
    <row r="17" spans="1:50" s="307" customFormat="1" ht="11.25" x14ac:dyDescent="0.2">
      <c r="A17" s="378" t="s">
        <v>470</v>
      </c>
      <c r="B17" s="49"/>
      <c r="C17" s="49"/>
      <c r="D17" s="49"/>
      <c r="E17" s="49">
        <v>212</v>
      </c>
      <c r="F17" s="49">
        <v>907</v>
      </c>
      <c r="G17" s="49">
        <v>391</v>
      </c>
      <c r="H17" s="49">
        <v>317</v>
      </c>
      <c r="I17" s="49">
        <v>431</v>
      </c>
      <c r="J17" s="49">
        <v>321</v>
      </c>
      <c r="K17" s="49">
        <v>572</v>
      </c>
      <c r="L17" s="49">
        <v>380</v>
      </c>
      <c r="M17" s="50">
        <v>728</v>
      </c>
      <c r="N17" s="50">
        <v>1236</v>
      </c>
      <c r="O17" s="49">
        <v>2064</v>
      </c>
      <c r="P17" s="49">
        <v>3591</v>
      </c>
      <c r="Q17" s="49">
        <v>3586</v>
      </c>
      <c r="R17" s="49">
        <v>845</v>
      </c>
      <c r="S17" s="49">
        <v>812</v>
      </c>
      <c r="T17" s="49">
        <v>404</v>
      </c>
      <c r="U17" s="49">
        <v>226</v>
      </c>
      <c r="V17" s="49">
        <v>197</v>
      </c>
      <c r="W17" s="49">
        <v>246</v>
      </c>
      <c r="X17" s="49">
        <v>156</v>
      </c>
      <c r="Y17" s="50">
        <v>527</v>
      </c>
      <c r="Z17" s="50">
        <v>171</v>
      </c>
      <c r="AA17" s="50">
        <v>220</v>
      </c>
      <c r="AB17" s="50">
        <v>192</v>
      </c>
      <c r="AC17" s="50">
        <v>302</v>
      </c>
      <c r="AD17" s="50">
        <v>230</v>
      </c>
      <c r="AE17" s="50">
        <v>344</v>
      </c>
      <c r="AF17" s="50">
        <v>354</v>
      </c>
      <c r="AG17" s="50">
        <v>277</v>
      </c>
      <c r="AH17" s="50">
        <v>187</v>
      </c>
      <c r="AI17" s="50">
        <v>121</v>
      </c>
      <c r="AJ17" s="50">
        <v>115</v>
      </c>
      <c r="AK17" s="50">
        <v>96</v>
      </c>
      <c r="AL17" s="50">
        <v>168</v>
      </c>
      <c r="AM17" s="50">
        <v>139</v>
      </c>
      <c r="AN17" s="50"/>
      <c r="AO17" s="50">
        <v>94</v>
      </c>
      <c r="AP17" s="167">
        <v>70</v>
      </c>
      <c r="AQ17" s="167">
        <v>90</v>
      </c>
      <c r="AR17" s="167">
        <v>144</v>
      </c>
      <c r="AS17" s="266">
        <f>SUM(B17:AR17)</f>
        <v>21463</v>
      </c>
      <c r="AT17" s="1046">
        <f t="shared" si="6"/>
        <v>20547</v>
      </c>
      <c r="AU17" s="1047">
        <f t="shared" si="3"/>
        <v>518</v>
      </c>
    </row>
    <row r="18" spans="1:50" s="307" customFormat="1" ht="11.25" x14ac:dyDescent="0.2">
      <c r="A18" s="378" t="s">
        <v>471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49"/>
      <c r="P18" s="49">
        <v>2</v>
      </c>
      <c r="Q18" s="49">
        <v>1</v>
      </c>
      <c r="R18" s="49">
        <v>1</v>
      </c>
      <c r="S18" s="49">
        <v>0</v>
      </c>
      <c r="T18" s="49">
        <v>0</v>
      </c>
      <c r="U18" s="49"/>
      <c r="V18" s="49">
        <v>3</v>
      </c>
      <c r="W18" s="49">
        <v>3</v>
      </c>
      <c r="X18" s="49">
        <v>6</v>
      </c>
      <c r="Y18" s="50">
        <v>2</v>
      </c>
      <c r="Z18" s="50">
        <v>3</v>
      </c>
      <c r="AA18" s="50">
        <v>1</v>
      </c>
      <c r="AB18" s="50">
        <v>4</v>
      </c>
      <c r="AC18" s="50">
        <v>3</v>
      </c>
      <c r="AD18" s="50">
        <v>7</v>
      </c>
      <c r="AE18" s="50">
        <v>5</v>
      </c>
      <c r="AF18" s="50">
        <v>7</v>
      </c>
      <c r="AG18" s="50">
        <v>7</v>
      </c>
      <c r="AH18" s="50">
        <v>18</v>
      </c>
      <c r="AI18" s="50">
        <v>20</v>
      </c>
      <c r="AJ18" s="50"/>
      <c r="AK18" s="50">
        <v>17</v>
      </c>
      <c r="AL18" s="50">
        <v>13</v>
      </c>
      <c r="AM18" s="50">
        <v>5</v>
      </c>
      <c r="AN18" s="50"/>
      <c r="AO18" s="50">
        <v>1</v>
      </c>
      <c r="AP18" s="167">
        <v>0</v>
      </c>
      <c r="AQ18" s="167">
        <v>0</v>
      </c>
      <c r="AR18" s="167">
        <v>0</v>
      </c>
      <c r="AS18" s="266">
        <f>SUM(B18:AR18)</f>
        <v>129</v>
      </c>
      <c r="AT18" s="1046">
        <f t="shared" si="6"/>
        <v>93</v>
      </c>
      <c r="AU18" s="1047">
        <f t="shared" si="3"/>
        <v>35</v>
      </c>
    </row>
    <row r="19" spans="1:50" s="307" customFormat="1" ht="11.25" x14ac:dyDescent="0.2">
      <c r="A19" s="37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167"/>
      <c r="AQ19" s="167"/>
      <c r="AR19" s="167"/>
      <c r="AS19" s="266"/>
      <c r="AT19" s="1046"/>
      <c r="AU19" s="1047"/>
    </row>
    <row r="20" spans="1:50" s="307" customFormat="1" ht="11.25" x14ac:dyDescent="0.2">
      <c r="A20" s="37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167"/>
      <c r="AQ20" s="167"/>
      <c r="AR20" s="167"/>
      <c r="AS20" s="266"/>
      <c r="AT20" s="1046"/>
      <c r="AU20" s="1047"/>
    </row>
    <row r="21" spans="1:50" s="307" customFormat="1" ht="11.25" x14ac:dyDescent="0.2">
      <c r="A21" s="378" t="s">
        <v>461</v>
      </c>
      <c r="B21" s="49">
        <v>128</v>
      </c>
      <c r="C21" s="49">
        <v>7452</v>
      </c>
      <c r="D21" s="49">
        <v>13783</v>
      </c>
      <c r="E21" s="49">
        <v>17030</v>
      </c>
      <c r="F21" s="49">
        <v>21419</v>
      </c>
      <c r="G21" s="49">
        <v>20263</v>
      </c>
      <c r="H21" s="49">
        <v>19315</v>
      </c>
      <c r="I21" s="49">
        <v>18308</v>
      </c>
      <c r="J21" s="49">
        <v>20435</v>
      </c>
      <c r="K21" s="49">
        <v>20649</v>
      </c>
      <c r="L21" s="49">
        <v>19357</v>
      </c>
      <c r="M21" s="50">
        <v>17170</v>
      </c>
      <c r="N21" s="50">
        <v>20614</v>
      </c>
      <c r="O21" s="49">
        <v>19871</v>
      </c>
      <c r="P21" s="49">
        <v>18509</v>
      </c>
      <c r="Q21" s="49">
        <v>13421</v>
      </c>
      <c r="R21" s="49">
        <v>9969</v>
      </c>
      <c r="S21" s="49"/>
      <c r="T21" s="49"/>
      <c r="U21" s="49"/>
      <c r="V21" s="49"/>
      <c r="W21" s="49"/>
      <c r="X21" s="49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167"/>
      <c r="AQ21" s="167"/>
      <c r="AR21" s="167"/>
      <c r="AS21" s="266">
        <f>SUM(B21:AR21)</f>
        <v>277693</v>
      </c>
      <c r="AT21" s="1046">
        <f t="shared" si="6"/>
        <v>277693</v>
      </c>
      <c r="AU21" s="1047"/>
    </row>
    <row r="22" spans="1:50" s="307" customFormat="1" ht="11.25" x14ac:dyDescent="0.2">
      <c r="A22" s="378" t="s">
        <v>61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>
        <v>3990</v>
      </c>
      <c r="N22" s="50">
        <v>26314</v>
      </c>
      <c r="O22" s="49">
        <v>41065</v>
      </c>
      <c r="P22" s="49">
        <v>39692</v>
      </c>
      <c r="Q22" s="49">
        <v>46572</v>
      </c>
      <c r="R22" s="49">
        <v>57001</v>
      </c>
      <c r="S22" s="49">
        <v>28258</v>
      </c>
      <c r="T22" s="49">
        <v>13571</v>
      </c>
      <c r="U22" s="49">
        <v>11446</v>
      </c>
      <c r="V22" s="49">
        <v>23198</v>
      </c>
      <c r="W22" s="49">
        <v>35206</v>
      </c>
      <c r="X22" s="49">
        <v>22920</v>
      </c>
      <c r="Y22" s="50">
        <v>17949</v>
      </c>
      <c r="Z22" s="50">
        <v>15327</v>
      </c>
      <c r="AA22" s="50">
        <v>22350</v>
      </c>
      <c r="AB22" s="50">
        <v>31605</v>
      </c>
      <c r="AC22" s="50">
        <v>28869</v>
      </c>
      <c r="AD22" s="50">
        <v>13182</v>
      </c>
      <c r="AE22" s="50">
        <v>16348</v>
      </c>
      <c r="AF22" s="50">
        <v>3575</v>
      </c>
      <c r="AG22" s="50">
        <v>1277</v>
      </c>
      <c r="AH22" s="50">
        <v>1294</v>
      </c>
      <c r="AI22" s="50">
        <v>2032</v>
      </c>
      <c r="AJ22" s="50">
        <v>1311</v>
      </c>
      <c r="AK22" s="50">
        <v>0</v>
      </c>
      <c r="AL22" s="50"/>
      <c r="AM22" s="50"/>
      <c r="AN22" s="50"/>
      <c r="AO22" s="50"/>
      <c r="AP22" s="167"/>
      <c r="AQ22" s="167"/>
      <c r="AR22" s="167"/>
      <c r="AS22" s="266">
        <f t="shared" ref="AS22:AS39" si="7">SUM(B22:AR22)</f>
        <v>504352</v>
      </c>
      <c r="AT22" s="1046">
        <f t="shared" si="6"/>
        <v>503041</v>
      </c>
      <c r="AU22" s="1047">
        <f t="shared" si="3"/>
        <v>1311</v>
      </c>
    </row>
    <row r="23" spans="1:50" s="307" customFormat="1" ht="11.25" x14ac:dyDescent="0.2">
      <c r="A23" s="378" t="s">
        <v>62</v>
      </c>
      <c r="B23" s="49"/>
      <c r="C23" s="49"/>
      <c r="D23" s="49"/>
      <c r="E23" s="49">
        <v>26942</v>
      </c>
      <c r="F23" s="49">
        <v>41115</v>
      </c>
      <c r="G23" s="49">
        <v>64263</v>
      </c>
      <c r="H23" s="49">
        <v>90757</v>
      </c>
      <c r="I23" s="49">
        <v>69829</v>
      </c>
      <c r="J23" s="49">
        <v>74708</v>
      </c>
      <c r="K23" s="49">
        <v>83367</v>
      </c>
      <c r="L23" s="49">
        <v>73236</v>
      </c>
      <c r="M23" s="50">
        <v>22070</v>
      </c>
      <c r="N23" s="50">
        <v>3238</v>
      </c>
      <c r="O23" s="49">
        <v>1340</v>
      </c>
      <c r="P23" s="49">
        <v>522</v>
      </c>
      <c r="Q23" s="49">
        <v>132</v>
      </c>
      <c r="R23" s="49"/>
      <c r="S23" s="49"/>
      <c r="T23" s="49"/>
      <c r="U23" s="49"/>
      <c r="V23" s="49"/>
      <c r="W23" s="49"/>
      <c r="X23" s="49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167"/>
      <c r="AQ23" s="167"/>
      <c r="AR23" s="167"/>
      <c r="AS23" s="266">
        <f t="shared" si="7"/>
        <v>551519</v>
      </c>
      <c r="AT23" s="1046">
        <f t="shared" si="6"/>
        <v>551519</v>
      </c>
      <c r="AU23" s="1047"/>
    </row>
    <row r="24" spans="1:50" s="307" customFormat="1" ht="11.25" x14ac:dyDescent="0.2">
      <c r="A24" s="378" t="s">
        <v>70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  <c r="N24" s="50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50"/>
      <c r="Z24" s="50"/>
      <c r="AA24" s="50"/>
      <c r="AB24" s="50"/>
      <c r="AC24" s="50"/>
      <c r="AD24" s="50"/>
      <c r="AE24" s="50"/>
      <c r="AF24" s="50">
        <v>794</v>
      </c>
      <c r="AG24" s="50">
        <v>1483</v>
      </c>
      <c r="AH24" s="50">
        <v>1465</v>
      </c>
      <c r="AI24" s="50">
        <v>1641</v>
      </c>
      <c r="AJ24" s="50">
        <v>1362</v>
      </c>
      <c r="AK24" s="50">
        <v>14</v>
      </c>
      <c r="AL24" s="50"/>
      <c r="AM24" s="50"/>
      <c r="AN24" s="50"/>
      <c r="AO24" s="50"/>
      <c r="AP24" s="167"/>
      <c r="AQ24" s="167"/>
      <c r="AR24" s="167"/>
      <c r="AS24" s="266">
        <f t="shared" si="7"/>
        <v>6759</v>
      </c>
      <c r="AT24" s="1046">
        <f t="shared" si="6"/>
        <v>5383</v>
      </c>
      <c r="AU24" s="1047">
        <f t="shared" si="3"/>
        <v>1376</v>
      </c>
    </row>
    <row r="25" spans="1:50" s="307" customFormat="1" ht="11.25" x14ac:dyDescent="0.2">
      <c r="A25" s="378" t="s">
        <v>463</v>
      </c>
      <c r="B25" s="49">
        <v>27564</v>
      </c>
      <c r="C25" s="49">
        <v>34542</v>
      </c>
      <c r="D25" s="49">
        <v>15284</v>
      </c>
      <c r="E25" s="49">
        <v>22269</v>
      </c>
      <c r="F25" s="49">
        <v>5001</v>
      </c>
      <c r="G25" s="49">
        <v>3321</v>
      </c>
      <c r="H25" s="49">
        <v>2316</v>
      </c>
      <c r="I25" s="49">
        <v>1591</v>
      </c>
      <c r="J25" s="49">
        <v>1184</v>
      </c>
      <c r="K25" s="49"/>
      <c r="L25" s="49"/>
      <c r="M25" s="50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167"/>
      <c r="AQ25" s="167"/>
      <c r="AR25" s="167"/>
      <c r="AS25" s="266">
        <f t="shared" si="7"/>
        <v>113072</v>
      </c>
      <c r="AT25" s="1046">
        <f t="shared" si="6"/>
        <v>113072</v>
      </c>
      <c r="AU25" s="1047"/>
    </row>
    <row r="26" spans="1:50" s="307" customFormat="1" ht="11.25" x14ac:dyDescent="0.2">
      <c r="A26" s="378" t="s">
        <v>464</v>
      </c>
      <c r="B26" s="49"/>
      <c r="C26" s="49">
        <v>3573</v>
      </c>
      <c r="D26" s="49">
        <v>7206</v>
      </c>
      <c r="E26" s="49">
        <v>16025</v>
      </c>
      <c r="F26" s="49">
        <v>17718</v>
      </c>
      <c r="G26" s="49">
        <v>10485</v>
      </c>
      <c r="H26" s="49">
        <v>5585</v>
      </c>
      <c r="I26" s="49">
        <v>4378</v>
      </c>
      <c r="J26" s="49">
        <v>3243</v>
      </c>
      <c r="K26" s="49">
        <v>2986</v>
      </c>
      <c r="L26" s="49">
        <v>1965</v>
      </c>
      <c r="M26" s="50">
        <v>2405</v>
      </c>
      <c r="N26" s="50">
        <v>2856</v>
      </c>
      <c r="O26" s="49">
        <v>2161</v>
      </c>
      <c r="P26" s="49">
        <v>1543</v>
      </c>
      <c r="Q26" s="49">
        <v>1332</v>
      </c>
      <c r="R26" s="49">
        <v>1059</v>
      </c>
      <c r="S26" s="49"/>
      <c r="T26" s="49"/>
      <c r="U26" s="49"/>
      <c r="V26" s="49"/>
      <c r="W26" s="49"/>
      <c r="X26" s="49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167"/>
      <c r="AQ26" s="167"/>
      <c r="AR26" s="167"/>
      <c r="AS26" s="266">
        <f t="shared" si="7"/>
        <v>84520</v>
      </c>
      <c r="AT26" s="1046">
        <f t="shared" si="6"/>
        <v>84520</v>
      </c>
      <c r="AU26" s="1047"/>
    </row>
    <row r="27" spans="1:50" s="307" customFormat="1" ht="11.25" x14ac:dyDescent="0.2">
      <c r="A27" s="378" t="s">
        <v>112</v>
      </c>
      <c r="B27" s="49"/>
      <c r="C27" s="49"/>
      <c r="D27" s="49"/>
      <c r="E27" s="49"/>
      <c r="F27" s="49">
        <v>1</v>
      </c>
      <c r="G27" s="49">
        <v>2</v>
      </c>
      <c r="H27" s="49">
        <v>6</v>
      </c>
      <c r="I27" s="49"/>
      <c r="J27" s="49"/>
      <c r="K27" s="49"/>
      <c r="L27" s="49"/>
      <c r="M27" s="50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167"/>
      <c r="AQ27" s="167"/>
      <c r="AR27" s="167"/>
      <c r="AS27" s="266">
        <f t="shared" si="7"/>
        <v>9</v>
      </c>
      <c r="AT27" s="1046">
        <f t="shared" si="6"/>
        <v>9</v>
      </c>
      <c r="AU27" s="1047"/>
    </row>
    <row r="28" spans="1:50" s="307" customFormat="1" ht="11.25" x14ac:dyDescent="0.2">
      <c r="A28" s="378" t="s">
        <v>465</v>
      </c>
      <c r="B28" s="49"/>
      <c r="C28" s="49"/>
      <c r="D28" s="49">
        <v>14645</v>
      </c>
      <c r="E28" s="49">
        <v>2102</v>
      </c>
      <c r="F28" s="49"/>
      <c r="G28" s="49"/>
      <c r="H28" s="49"/>
      <c r="I28" s="49"/>
      <c r="J28" s="49"/>
      <c r="K28" s="49"/>
      <c r="L28" s="49"/>
      <c r="M28" s="50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167"/>
      <c r="AQ28" s="167"/>
      <c r="AR28" s="167"/>
      <c r="AS28" s="266">
        <f t="shared" si="7"/>
        <v>16747</v>
      </c>
      <c r="AT28" s="1046">
        <f t="shared" si="6"/>
        <v>16747</v>
      </c>
      <c r="AU28" s="1047"/>
    </row>
    <row r="29" spans="1:50" s="307" customFormat="1" ht="11.25" x14ac:dyDescent="0.2">
      <c r="A29" s="378" t="s">
        <v>67</v>
      </c>
      <c r="B29" s="49">
        <v>2206</v>
      </c>
      <c r="C29" s="49">
        <v>8910</v>
      </c>
      <c r="D29" s="49">
        <v>9088</v>
      </c>
      <c r="E29" s="49">
        <v>6316</v>
      </c>
      <c r="F29" s="49"/>
      <c r="G29" s="49"/>
      <c r="H29" s="49"/>
      <c r="I29" s="49"/>
      <c r="J29" s="49"/>
      <c r="K29" s="49"/>
      <c r="L29" s="49"/>
      <c r="M29" s="50"/>
      <c r="N29" s="50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167"/>
      <c r="AQ29" s="167"/>
      <c r="AR29" s="167"/>
      <c r="AS29" s="266">
        <f t="shared" si="7"/>
        <v>26520</v>
      </c>
      <c r="AT29" s="1046">
        <f t="shared" si="6"/>
        <v>26520</v>
      </c>
      <c r="AU29" s="1047"/>
      <c r="AX29" s="1048"/>
    </row>
    <row r="30" spans="1:50" s="307" customFormat="1" ht="11.25" x14ac:dyDescent="0.2">
      <c r="A30" s="378" t="s">
        <v>68</v>
      </c>
      <c r="B30" s="49">
        <v>17807</v>
      </c>
      <c r="C30" s="49">
        <v>13080</v>
      </c>
      <c r="D30" s="49">
        <v>28659</v>
      </c>
      <c r="E30" s="49">
        <v>6348</v>
      </c>
      <c r="F30" s="49"/>
      <c r="G30" s="49"/>
      <c r="H30" s="49"/>
      <c r="I30" s="49"/>
      <c r="J30" s="49"/>
      <c r="K30" s="49"/>
      <c r="L30" s="49"/>
      <c r="M30" s="50"/>
      <c r="N30" s="50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167"/>
      <c r="AQ30" s="167"/>
      <c r="AR30" s="167"/>
      <c r="AS30" s="266">
        <f t="shared" si="7"/>
        <v>65894</v>
      </c>
      <c r="AT30" s="1046">
        <f t="shared" si="6"/>
        <v>65894</v>
      </c>
      <c r="AU30" s="1047"/>
    </row>
    <row r="31" spans="1:50" s="307" customFormat="1" ht="11.25" x14ac:dyDescent="0.2">
      <c r="A31" s="378" t="s">
        <v>466</v>
      </c>
      <c r="B31" s="49"/>
      <c r="C31" s="49">
        <v>8284</v>
      </c>
      <c r="D31" s="49">
        <v>57577</v>
      </c>
      <c r="E31" s="49">
        <v>94305</v>
      </c>
      <c r="F31" s="49">
        <v>170136</v>
      </c>
      <c r="G31" s="49"/>
      <c r="H31" s="49"/>
      <c r="I31" s="49"/>
      <c r="J31" s="49"/>
      <c r="K31" s="49"/>
      <c r="L31" s="49"/>
      <c r="M31" s="50"/>
      <c r="N31" s="50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167"/>
      <c r="AQ31" s="167"/>
      <c r="AR31" s="167"/>
      <c r="AS31" s="266">
        <f t="shared" si="7"/>
        <v>330302</v>
      </c>
      <c r="AT31" s="1046">
        <f t="shared" si="6"/>
        <v>330302</v>
      </c>
      <c r="AU31" s="1047"/>
    </row>
    <row r="32" spans="1:50" s="307" customFormat="1" ht="11.25" x14ac:dyDescent="0.2">
      <c r="A32" s="378" t="s">
        <v>472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0"/>
      <c r="O32" s="49"/>
      <c r="P32" s="49"/>
      <c r="Q32" s="49">
        <v>351</v>
      </c>
      <c r="R32" s="49">
        <v>816</v>
      </c>
      <c r="S32" s="49">
        <v>678</v>
      </c>
      <c r="T32" s="49">
        <v>681</v>
      </c>
      <c r="U32" s="49">
        <v>627</v>
      </c>
      <c r="V32" s="49">
        <v>378</v>
      </c>
      <c r="W32" s="49">
        <v>503</v>
      </c>
      <c r="X32" s="49">
        <v>450</v>
      </c>
      <c r="Y32" s="50">
        <v>634</v>
      </c>
      <c r="Z32" s="50">
        <v>594</v>
      </c>
      <c r="AA32" s="50">
        <v>299</v>
      </c>
      <c r="AB32" s="50">
        <v>735</v>
      </c>
      <c r="AC32" s="50">
        <v>1251</v>
      </c>
      <c r="AD32" s="50">
        <v>1562</v>
      </c>
      <c r="AE32" s="50">
        <v>2270</v>
      </c>
      <c r="AF32" s="50">
        <v>3567</v>
      </c>
      <c r="AG32" s="50">
        <v>3350</v>
      </c>
      <c r="AH32" s="50">
        <v>2143</v>
      </c>
      <c r="AI32" s="50">
        <v>1677</v>
      </c>
      <c r="AJ32" s="50"/>
      <c r="AK32" s="50">
        <v>7</v>
      </c>
      <c r="AL32" s="50"/>
      <c r="AM32" s="50"/>
      <c r="AN32" s="50"/>
      <c r="AO32" s="50"/>
      <c r="AP32" s="167"/>
      <c r="AQ32" s="167"/>
      <c r="AR32" s="167"/>
      <c r="AS32" s="266">
        <f t="shared" si="7"/>
        <v>22573</v>
      </c>
      <c r="AT32" s="1046">
        <f t="shared" si="6"/>
        <v>22566</v>
      </c>
      <c r="AU32" s="1047">
        <f t="shared" si="3"/>
        <v>7</v>
      </c>
    </row>
    <row r="33" spans="1:47" s="402" customFormat="1" x14ac:dyDescent="0.2">
      <c r="A33" s="378" t="s">
        <v>140</v>
      </c>
      <c r="B33" s="269"/>
      <c r="C33" s="269"/>
      <c r="D33" s="269"/>
      <c r="E33" s="269"/>
      <c r="F33" s="269"/>
      <c r="G33" s="269"/>
      <c r="H33" s="269"/>
      <c r="I33" s="269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3">
        <v>16</v>
      </c>
      <c r="AC33" s="122">
        <v>13</v>
      </c>
      <c r="AD33" s="122">
        <v>18</v>
      </c>
      <c r="AE33" s="122">
        <v>9</v>
      </c>
      <c r="AF33" s="122">
        <v>2</v>
      </c>
      <c r="AG33" s="122">
        <v>8</v>
      </c>
      <c r="AH33" s="123">
        <v>10</v>
      </c>
      <c r="AI33" s="122">
        <v>1</v>
      </c>
      <c r="AJ33" s="122"/>
      <c r="AK33" s="121">
        <v>0</v>
      </c>
      <c r="AL33" s="121"/>
      <c r="AM33" s="121"/>
      <c r="AN33" s="50"/>
      <c r="AO33" s="50"/>
      <c r="AP33" s="123"/>
      <c r="AQ33" s="123"/>
      <c r="AR33" s="123"/>
      <c r="AS33" s="266">
        <f t="shared" si="7"/>
        <v>77</v>
      </c>
      <c r="AT33" s="1046">
        <f t="shared" si="6"/>
        <v>77</v>
      </c>
      <c r="AU33" s="1047"/>
    </row>
    <row r="34" spans="1:47" s="402" customFormat="1" x14ac:dyDescent="0.2">
      <c r="A34" s="378" t="s">
        <v>141</v>
      </c>
      <c r="B34" s="269"/>
      <c r="C34" s="269"/>
      <c r="D34" s="269"/>
      <c r="E34" s="269"/>
      <c r="F34" s="269"/>
      <c r="G34" s="269"/>
      <c r="H34" s="269"/>
      <c r="I34" s="269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3">
        <v>8</v>
      </c>
      <c r="AC34" s="50">
        <v>9</v>
      </c>
      <c r="AD34" s="50">
        <v>6</v>
      </c>
      <c r="AE34" s="50">
        <v>8</v>
      </c>
      <c r="AF34" s="50">
        <v>29</v>
      </c>
      <c r="AG34" s="50">
        <v>16</v>
      </c>
      <c r="AH34" s="123">
        <v>15</v>
      </c>
      <c r="AI34" s="122">
        <v>84</v>
      </c>
      <c r="AJ34" s="122"/>
      <c r="AK34" s="121">
        <v>0</v>
      </c>
      <c r="AL34" s="121"/>
      <c r="AM34" s="121"/>
      <c r="AN34" s="50"/>
      <c r="AO34" s="50"/>
      <c r="AP34" s="123"/>
      <c r="AQ34" s="123"/>
      <c r="AR34" s="123"/>
      <c r="AS34" s="266">
        <f t="shared" si="7"/>
        <v>175</v>
      </c>
      <c r="AT34" s="1046">
        <f t="shared" si="6"/>
        <v>175</v>
      </c>
      <c r="AU34" s="1047"/>
    </row>
    <row r="35" spans="1:47" s="402" customFormat="1" x14ac:dyDescent="0.2">
      <c r="A35" s="378" t="s">
        <v>482</v>
      </c>
      <c r="B35" s="270"/>
      <c r="C35" s="270"/>
      <c r="D35" s="270"/>
      <c r="E35" s="270"/>
      <c r="F35" s="270"/>
      <c r="G35" s="270"/>
      <c r="H35" s="270"/>
      <c r="I35" s="271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50">
        <v>40</v>
      </c>
      <c r="AG35" s="50">
        <v>88</v>
      </c>
      <c r="AH35" s="123">
        <v>92</v>
      </c>
      <c r="AI35" s="122">
        <v>117</v>
      </c>
      <c r="AJ35" s="122">
        <v>80</v>
      </c>
      <c r="AK35" s="121">
        <v>0</v>
      </c>
      <c r="AL35" s="121"/>
      <c r="AM35" s="121"/>
      <c r="AN35" s="50"/>
      <c r="AO35" s="50"/>
      <c r="AP35" s="123"/>
      <c r="AQ35" s="123"/>
      <c r="AR35" s="123"/>
      <c r="AS35" s="266">
        <f t="shared" si="7"/>
        <v>417</v>
      </c>
      <c r="AT35" s="1046">
        <f t="shared" si="6"/>
        <v>337</v>
      </c>
      <c r="AU35" s="1047">
        <f t="shared" si="3"/>
        <v>80</v>
      </c>
    </row>
    <row r="36" spans="1:47" s="402" customFormat="1" x14ac:dyDescent="0.2">
      <c r="A36" s="378" t="s">
        <v>483</v>
      </c>
      <c r="B36" s="269"/>
      <c r="C36" s="269"/>
      <c r="D36" s="269"/>
      <c r="E36" s="269"/>
      <c r="F36" s="269"/>
      <c r="G36" s="269"/>
      <c r="H36" s="269"/>
      <c r="I36" s="269"/>
      <c r="J36" s="205"/>
      <c r="K36" s="205"/>
      <c r="L36" s="205"/>
      <c r="M36" s="205"/>
      <c r="N36" s="205">
        <v>88</v>
      </c>
      <c r="O36" s="205">
        <v>425</v>
      </c>
      <c r="P36" s="205">
        <v>443</v>
      </c>
      <c r="Q36" s="205">
        <v>13</v>
      </c>
      <c r="R36" s="205">
        <v>1</v>
      </c>
      <c r="S36" s="205"/>
      <c r="T36" s="205"/>
      <c r="U36" s="205"/>
      <c r="V36" s="205"/>
      <c r="W36" s="205"/>
      <c r="X36" s="205"/>
      <c r="Y36" s="122"/>
      <c r="Z36" s="122"/>
      <c r="AA36" s="122"/>
      <c r="AB36" s="123"/>
      <c r="AC36" s="50"/>
      <c r="AD36" s="50"/>
      <c r="AE36" s="50"/>
      <c r="AF36" s="50"/>
      <c r="AG36" s="50"/>
      <c r="AH36" s="272"/>
      <c r="AI36" s="122"/>
      <c r="AJ36" s="122"/>
      <c r="AK36" s="121"/>
      <c r="AL36" s="121"/>
      <c r="AM36" s="121"/>
      <c r="AN36" s="50"/>
      <c r="AO36" s="50"/>
      <c r="AP36" s="123"/>
      <c r="AQ36" s="123"/>
      <c r="AR36" s="123"/>
      <c r="AS36" s="266">
        <f t="shared" si="7"/>
        <v>970</v>
      </c>
      <c r="AT36" s="1046">
        <f t="shared" si="6"/>
        <v>970</v>
      </c>
      <c r="AU36" s="1047"/>
    </row>
    <row r="37" spans="1:47" s="402" customFormat="1" x14ac:dyDescent="0.2">
      <c r="A37" s="378" t="s">
        <v>485</v>
      </c>
      <c r="B37" s="269"/>
      <c r="C37" s="269"/>
      <c r="D37" s="269"/>
      <c r="E37" s="269"/>
      <c r="F37" s="269"/>
      <c r="G37" s="269"/>
      <c r="H37" s="269"/>
      <c r="I37" s="269"/>
      <c r="J37" s="205"/>
      <c r="K37" s="205"/>
      <c r="L37" s="205"/>
      <c r="M37" s="205"/>
      <c r="N37" s="205"/>
      <c r="O37" s="205">
        <v>18</v>
      </c>
      <c r="P37" s="205">
        <v>13</v>
      </c>
      <c r="Q37" s="205">
        <v>6</v>
      </c>
      <c r="R37" s="205">
        <v>3</v>
      </c>
      <c r="S37" s="205">
        <v>3</v>
      </c>
      <c r="T37" s="205">
        <v>4</v>
      </c>
      <c r="U37" s="205">
        <v>1</v>
      </c>
      <c r="V37" s="205"/>
      <c r="W37" s="205"/>
      <c r="X37" s="205"/>
      <c r="Y37" s="122"/>
      <c r="Z37" s="122"/>
      <c r="AA37" s="122"/>
      <c r="AB37" s="123"/>
      <c r="AC37" s="50"/>
      <c r="AD37" s="50"/>
      <c r="AE37" s="50"/>
      <c r="AF37" s="50"/>
      <c r="AG37" s="50"/>
      <c r="AH37" s="272"/>
      <c r="AI37" s="122"/>
      <c r="AJ37" s="122"/>
      <c r="AK37" s="121"/>
      <c r="AL37" s="121"/>
      <c r="AM37" s="121"/>
      <c r="AN37" s="50"/>
      <c r="AO37" s="50"/>
      <c r="AP37" s="123"/>
      <c r="AQ37" s="123"/>
      <c r="AR37" s="123"/>
      <c r="AS37" s="266">
        <f t="shared" si="7"/>
        <v>48</v>
      </c>
      <c r="AT37" s="1046">
        <f t="shared" si="6"/>
        <v>48</v>
      </c>
      <c r="AU37" s="1047"/>
    </row>
    <row r="38" spans="1:47" s="402" customFormat="1" ht="11.25" x14ac:dyDescent="0.2">
      <c r="A38" s="378" t="s">
        <v>486</v>
      </c>
      <c r="B38" s="50">
        <v>4776</v>
      </c>
      <c r="C38" s="50">
        <v>61943</v>
      </c>
      <c r="D38" s="50">
        <v>64408</v>
      </c>
      <c r="E38" s="50">
        <v>57295</v>
      </c>
      <c r="F38" s="50">
        <v>45195</v>
      </c>
      <c r="G38" s="50">
        <v>22222</v>
      </c>
      <c r="H38" s="50">
        <v>14069</v>
      </c>
      <c r="I38" s="50">
        <v>11835</v>
      </c>
      <c r="J38" s="206">
        <v>5642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3"/>
      <c r="AC38" s="50"/>
      <c r="AD38" s="50"/>
      <c r="AE38" s="50"/>
      <c r="AF38" s="50"/>
      <c r="AG38" s="50"/>
      <c r="AH38" s="272"/>
      <c r="AI38" s="122"/>
      <c r="AJ38" s="122"/>
      <c r="AK38" s="121"/>
      <c r="AL38" s="121"/>
      <c r="AM38" s="121"/>
      <c r="AN38" s="50"/>
      <c r="AO38" s="50"/>
      <c r="AP38" s="123"/>
      <c r="AQ38" s="123"/>
      <c r="AR38" s="123"/>
      <c r="AS38" s="266">
        <f t="shared" si="7"/>
        <v>287385</v>
      </c>
      <c r="AT38" s="1046">
        <f t="shared" si="6"/>
        <v>287385</v>
      </c>
      <c r="AU38" s="1047"/>
    </row>
    <row r="39" spans="1:47" s="402" customFormat="1" ht="12" thickBot="1" x14ac:dyDescent="0.25">
      <c r="A39" s="1049" t="s">
        <v>487</v>
      </c>
      <c r="B39" s="176">
        <v>679</v>
      </c>
      <c r="C39" s="176">
        <v>1467</v>
      </c>
      <c r="D39" s="176">
        <v>1289</v>
      </c>
      <c r="E39" s="176">
        <v>972</v>
      </c>
      <c r="F39" s="176">
        <v>785</v>
      </c>
      <c r="G39" s="176">
        <v>912</v>
      </c>
      <c r="H39" s="176">
        <v>890</v>
      </c>
      <c r="I39" s="176">
        <v>522</v>
      </c>
      <c r="J39" s="176">
        <v>401</v>
      </c>
      <c r="K39" s="176">
        <v>474</v>
      </c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273"/>
      <c r="AC39" s="177"/>
      <c r="AD39" s="177"/>
      <c r="AE39" s="177"/>
      <c r="AF39" s="177"/>
      <c r="AG39" s="177"/>
      <c r="AH39" s="274"/>
      <c r="AI39" s="177"/>
      <c r="AJ39" s="177"/>
      <c r="AK39" s="275"/>
      <c r="AL39" s="275"/>
      <c r="AM39" s="275"/>
      <c r="AN39" s="177"/>
      <c r="AO39" s="177"/>
      <c r="AP39" s="276"/>
      <c r="AQ39" s="276"/>
      <c r="AR39" s="276"/>
      <c r="AS39" s="277">
        <f t="shared" si="7"/>
        <v>8391</v>
      </c>
      <c r="AT39" s="1046">
        <f t="shared" si="6"/>
        <v>8391</v>
      </c>
      <c r="AU39" s="1047"/>
    </row>
    <row r="40" spans="1:47" s="307" customFormat="1" thickTop="1" thickBot="1" x14ac:dyDescent="0.25">
      <c r="AA40" s="310"/>
      <c r="AB40" s="310"/>
      <c r="AC40" s="310"/>
      <c r="AD40" s="310"/>
      <c r="AE40" s="310"/>
      <c r="AF40" s="310"/>
      <c r="AG40" s="400"/>
      <c r="AH40" s="310"/>
      <c r="AI40" s="310"/>
      <c r="AJ40" s="310"/>
      <c r="AK40" s="310"/>
      <c r="AL40" s="310"/>
      <c r="AM40" s="38"/>
      <c r="AN40" s="38"/>
      <c r="AO40" s="38"/>
      <c r="AP40" s="38"/>
      <c r="AQ40" s="38"/>
      <c r="AR40" s="38"/>
      <c r="AT40" s="1050"/>
    </row>
    <row r="41" spans="1:47" s="402" customFormat="1" ht="12" thickTop="1" x14ac:dyDescent="0.2">
      <c r="A41" s="1016" t="s">
        <v>473</v>
      </c>
      <c r="B41" s="1017"/>
      <c r="C41" s="1017"/>
      <c r="D41" s="1017"/>
      <c r="E41" s="1017"/>
      <c r="F41" s="1017"/>
      <c r="G41" s="1017"/>
      <c r="H41" s="1017"/>
      <c r="I41" s="1017"/>
      <c r="J41" s="1017"/>
      <c r="K41" s="1017"/>
      <c r="L41" s="1018">
        <f>SUM(L42:L49)</f>
        <v>40</v>
      </c>
      <c r="M41" s="1018">
        <f t="shared" ref="M41:AR41" si="8">SUM(M42:M49)</f>
        <v>56</v>
      </c>
      <c r="N41" s="1018">
        <f t="shared" si="8"/>
        <v>893</v>
      </c>
      <c r="O41" s="1018">
        <f t="shared" si="8"/>
        <v>1392</v>
      </c>
      <c r="P41" s="1018">
        <f t="shared" si="8"/>
        <v>2937</v>
      </c>
      <c r="Q41" s="1018">
        <f t="shared" si="8"/>
        <v>2530</v>
      </c>
      <c r="R41" s="1018">
        <f t="shared" si="8"/>
        <v>790</v>
      </c>
      <c r="S41" s="1018">
        <f t="shared" si="8"/>
        <v>659</v>
      </c>
      <c r="T41" s="1018">
        <f t="shared" si="8"/>
        <v>661</v>
      </c>
      <c r="U41" s="1018">
        <f t="shared" si="8"/>
        <v>648</v>
      </c>
      <c r="V41" s="1018">
        <f t="shared" si="8"/>
        <v>734</v>
      </c>
      <c r="W41" s="1018">
        <f t="shared" si="8"/>
        <v>815</v>
      </c>
      <c r="X41" s="1018">
        <f t="shared" si="8"/>
        <v>724</v>
      </c>
      <c r="Y41" s="1018">
        <f t="shared" si="8"/>
        <v>541</v>
      </c>
      <c r="Z41" s="1018">
        <f t="shared" si="8"/>
        <v>454</v>
      </c>
      <c r="AA41" s="1018">
        <f t="shared" si="8"/>
        <v>304</v>
      </c>
      <c r="AB41" s="1018">
        <f t="shared" si="8"/>
        <v>303</v>
      </c>
      <c r="AC41" s="1018">
        <f t="shared" si="8"/>
        <v>426</v>
      </c>
      <c r="AD41" s="1018">
        <f t="shared" si="8"/>
        <v>367</v>
      </c>
      <c r="AE41" s="1018">
        <f t="shared" si="8"/>
        <v>463</v>
      </c>
      <c r="AF41" s="1018">
        <f t="shared" si="8"/>
        <v>582</v>
      </c>
      <c r="AG41" s="1018">
        <f t="shared" si="8"/>
        <v>636</v>
      </c>
      <c r="AH41" s="1019">
        <f t="shared" si="8"/>
        <v>538</v>
      </c>
      <c r="AI41" s="1018">
        <f t="shared" si="8"/>
        <v>571</v>
      </c>
      <c r="AJ41" s="1018">
        <f t="shared" si="8"/>
        <v>449</v>
      </c>
      <c r="AK41" s="1018">
        <f t="shared" si="8"/>
        <v>0</v>
      </c>
      <c r="AL41" s="1018">
        <f t="shared" si="8"/>
        <v>499</v>
      </c>
      <c r="AM41" s="1018">
        <f t="shared" si="8"/>
        <v>643</v>
      </c>
      <c r="AN41" s="1018">
        <f t="shared" si="8"/>
        <v>1252</v>
      </c>
      <c r="AO41" s="1018">
        <f t="shared" si="8"/>
        <v>727</v>
      </c>
      <c r="AP41" s="1018">
        <f t="shared" si="8"/>
        <v>330</v>
      </c>
      <c r="AQ41" s="1018">
        <f t="shared" si="8"/>
        <v>236</v>
      </c>
      <c r="AR41" s="1018">
        <f t="shared" si="8"/>
        <v>1402</v>
      </c>
      <c r="AS41" s="1051">
        <f>SUM(B41:AR41)</f>
        <v>23602</v>
      </c>
      <c r="AT41" s="1052"/>
    </row>
    <row r="42" spans="1:47" s="402" customFormat="1" x14ac:dyDescent="0.2">
      <c r="A42" s="969" t="s">
        <v>474</v>
      </c>
      <c r="B42" s="271"/>
      <c r="C42" s="271"/>
      <c r="D42" s="271"/>
      <c r="E42" s="271"/>
      <c r="F42" s="271"/>
      <c r="G42" s="271"/>
      <c r="H42" s="271"/>
      <c r="I42" s="271"/>
      <c r="J42" s="50"/>
      <c r="K42" s="50"/>
      <c r="L42" s="50">
        <v>9</v>
      </c>
      <c r="M42" s="50">
        <v>11</v>
      </c>
      <c r="N42" s="50">
        <v>18</v>
      </c>
      <c r="O42" s="50">
        <v>12</v>
      </c>
      <c r="P42" s="50">
        <v>15</v>
      </c>
      <c r="Q42" s="50">
        <v>16</v>
      </c>
      <c r="R42" s="50">
        <v>20</v>
      </c>
      <c r="S42" s="50">
        <v>17</v>
      </c>
      <c r="T42" s="50">
        <v>22</v>
      </c>
      <c r="U42" s="50">
        <v>16</v>
      </c>
      <c r="V42" s="50">
        <v>17</v>
      </c>
      <c r="W42" s="50">
        <v>14</v>
      </c>
      <c r="X42" s="50">
        <v>22</v>
      </c>
      <c r="Y42" s="50">
        <v>11</v>
      </c>
      <c r="Z42" s="50">
        <v>12</v>
      </c>
      <c r="AA42" s="50">
        <v>7</v>
      </c>
      <c r="AB42" s="50">
        <v>27</v>
      </c>
      <c r="AC42" s="50">
        <v>12</v>
      </c>
      <c r="AD42" s="50">
        <v>10</v>
      </c>
      <c r="AE42" s="50">
        <v>15</v>
      </c>
      <c r="AF42" s="50">
        <v>11</v>
      </c>
      <c r="AG42" s="50">
        <v>17</v>
      </c>
      <c r="AH42" s="202">
        <v>29</v>
      </c>
      <c r="AI42" s="50">
        <v>14</v>
      </c>
      <c r="AJ42" s="50">
        <v>9</v>
      </c>
      <c r="AK42" s="202"/>
      <c r="AL42" s="202">
        <v>7</v>
      </c>
      <c r="AM42" s="202">
        <v>6</v>
      </c>
      <c r="AN42" s="202">
        <v>16</v>
      </c>
      <c r="AO42" s="202">
        <v>16</v>
      </c>
      <c r="AP42" s="202">
        <v>10</v>
      </c>
      <c r="AQ42" s="202">
        <v>12</v>
      </c>
      <c r="AR42" s="202">
        <v>1</v>
      </c>
      <c r="AS42" s="1022">
        <f t="shared" ref="AS42:AS49" si="9">SUM(B42:AR42)</f>
        <v>451</v>
      </c>
      <c r="AT42" s="1052"/>
    </row>
    <row r="43" spans="1:47" s="402" customFormat="1" x14ac:dyDescent="0.2">
      <c r="A43" s="969" t="s">
        <v>475</v>
      </c>
      <c r="B43" s="271"/>
      <c r="C43" s="271"/>
      <c r="D43" s="271"/>
      <c r="E43" s="271"/>
      <c r="F43" s="271"/>
      <c r="G43" s="271"/>
      <c r="H43" s="271"/>
      <c r="I43" s="271"/>
      <c r="J43" s="50"/>
      <c r="K43" s="50"/>
      <c r="L43" s="50"/>
      <c r="M43" s="50"/>
      <c r="N43" s="50">
        <v>15</v>
      </c>
      <c r="O43" s="50">
        <v>8</v>
      </c>
      <c r="P43" s="50">
        <v>12</v>
      </c>
      <c r="Q43" s="50">
        <v>22</v>
      </c>
      <c r="R43" s="50">
        <v>21</v>
      </c>
      <c r="S43" s="50">
        <v>17</v>
      </c>
      <c r="T43" s="50">
        <v>22</v>
      </c>
      <c r="U43" s="50">
        <v>69</v>
      </c>
      <c r="V43" s="50">
        <v>64</v>
      </c>
      <c r="W43" s="50">
        <v>79</v>
      </c>
      <c r="X43" s="50">
        <v>63</v>
      </c>
      <c r="Y43" s="50">
        <v>36</v>
      </c>
      <c r="Z43" s="50">
        <v>44</v>
      </c>
      <c r="AA43" s="50">
        <v>52</v>
      </c>
      <c r="AB43" s="50">
        <v>9</v>
      </c>
      <c r="AC43" s="50">
        <v>27</v>
      </c>
      <c r="AD43" s="50">
        <v>67</v>
      </c>
      <c r="AE43" s="50">
        <v>58</v>
      </c>
      <c r="AF43" s="50">
        <v>68</v>
      </c>
      <c r="AG43" s="50">
        <v>64</v>
      </c>
      <c r="AH43" s="202">
        <v>76</v>
      </c>
      <c r="AI43" s="50">
        <v>86</v>
      </c>
      <c r="AJ43" s="50">
        <v>44</v>
      </c>
      <c r="AK43" s="202"/>
      <c r="AL43" s="202">
        <v>35</v>
      </c>
      <c r="AM43" s="202">
        <v>45</v>
      </c>
      <c r="AN43" s="202">
        <v>31</v>
      </c>
      <c r="AO43" s="202">
        <v>27</v>
      </c>
      <c r="AP43" s="202">
        <v>21</v>
      </c>
      <c r="AQ43" s="202">
        <v>48</v>
      </c>
      <c r="AR43" s="202">
        <v>147</v>
      </c>
      <c r="AS43" s="1022">
        <f t="shared" si="9"/>
        <v>1377</v>
      </c>
      <c r="AT43" s="1052"/>
    </row>
    <row r="44" spans="1:47" s="402" customFormat="1" x14ac:dyDescent="0.2">
      <c r="A44" s="969" t="s">
        <v>476</v>
      </c>
      <c r="B44" s="271"/>
      <c r="C44" s="271"/>
      <c r="D44" s="271"/>
      <c r="E44" s="271"/>
      <c r="F44" s="271"/>
      <c r="G44" s="271"/>
      <c r="H44" s="271"/>
      <c r="I44" s="271"/>
      <c r="J44" s="50"/>
      <c r="K44" s="50"/>
      <c r="L44" s="50">
        <v>31</v>
      </c>
      <c r="M44" s="50">
        <v>45</v>
      </c>
      <c r="N44" s="50">
        <v>52</v>
      </c>
      <c r="O44" s="50">
        <v>61</v>
      </c>
      <c r="P44" s="50">
        <v>59</v>
      </c>
      <c r="Q44" s="50">
        <v>58</v>
      </c>
      <c r="R44" s="50">
        <v>49</v>
      </c>
      <c r="S44" s="50">
        <v>52</v>
      </c>
      <c r="T44" s="50">
        <v>56</v>
      </c>
      <c r="U44" s="50"/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/>
      <c r="AC44" s="50"/>
      <c r="AD44" s="50"/>
      <c r="AE44" s="50"/>
      <c r="AF44" s="50"/>
      <c r="AG44" s="50"/>
      <c r="AH44" s="202"/>
      <c r="AI44" s="50"/>
      <c r="AJ44" s="50"/>
      <c r="AK44" s="202"/>
      <c r="AL44" s="202"/>
      <c r="AM44" s="202"/>
      <c r="AN44" s="202"/>
      <c r="AO44" s="202"/>
      <c r="AP44" s="202"/>
      <c r="AQ44" s="202"/>
      <c r="AR44" s="202"/>
      <c r="AS44" s="1022">
        <f t="shared" si="9"/>
        <v>463</v>
      </c>
      <c r="AT44" s="1052"/>
    </row>
    <row r="45" spans="1:47" s="402" customFormat="1" x14ac:dyDescent="0.2">
      <c r="A45" s="969" t="s">
        <v>477</v>
      </c>
      <c r="B45" s="271"/>
      <c r="C45" s="271"/>
      <c r="D45" s="271"/>
      <c r="E45" s="271"/>
      <c r="F45" s="271"/>
      <c r="G45" s="271"/>
      <c r="H45" s="271"/>
      <c r="I45" s="271"/>
      <c r="J45" s="50"/>
      <c r="K45" s="50"/>
      <c r="L45" s="50"/>
      <c r="M45" s="50"/>
      <c r="N45" s="50">
        <v>808</v>
      </c>
      <c r="O45" s="50">
        <v>1311</v>
      </c>
      <c r="P45" s="50">
        <v>2851</v>
      </c>
      <c r="Q45" s="50">
        <v>2426</v>
      </c>
      <c r="R45" s="50">
        <v>692</v>
      </c>
      <c r="S45" s="50">
        <v>545</v>
      </c>
      <c r="T45" s="50">
        <v>561</v>
      </c>
      <c r="U45" s="50">
        <v>563</v>
      </c>
      <c r="V45" s="50">
        <v>653</v>
      </c>
      <c r="W45" s="50">
        <v>722</v>
      </c>
      <c r="X45" s="50">
        <v>639</v>
      </c>
      <c r="Y45" s="50">
        <v>494</v>
      </c>
      <c r="Z45" s="50">
        <v>360</v>
      </c>
      <c r="AA45" s="50">
        <v>212</v>
      </c>
      <c r="AB45" s="50">
        <v>214</v>
      </c>
      <c r="AC45" s="50">
        <v>267</v>
      </c>
      <c r="AD45" s="50">
        <v>225</v>
      </c>
      <c r="AE45" s="50">
        <v>274</v>
      </c>
      <c r="AF45" s="50">
        <v>361</v>
      </c>
      <c r="AG45" s="50">
        <v>418</v>
      </c>
      <c r="AH45" s="202">
        <v>320</v>
      </c>
      <c r="AI45" s="50">
        <v>330</v>
      </c>
      <c r="AJ45" s="50">
        <v>311</v>
      </c>
      <c r="AK45" s="202"/>
      <c r="AL45" s="202">
        <v>342</v>
      </c>
      <c r="AM45" s="202">
        <v>255</v>
      </c>
      <c r="AN45" s="202">
        <v>267</v>
      </c>
      <c r="AO45" s="202">
        <v>253</v>
      </c>
      <c r="AP45" s="202">
        <v>183</v>
      </c>
      <c r="AQ45" s="202">
        <v>98</v>
      </c>
      <c r="AR45" s="202">
        <v>580</v>
      </c>
      <c r="AS45" s="1022">
        <f t="shared" si="9"/>
        <v>17535</v>
      </c>
      <c r="AT45" s="1052"/>
    </row>
    <row r="46" spans="1:47" s="402" customFormat="1" x14ac:dyDescent="0.2">
      <c r="A46" s="969" t="s">
        <v>478</v>
      </c>
      <c r="B46" s="271"/>
      <c r="C46" s="271"/>
      <c r="D46" s="271"/>
      <c r="E46" s="271"/>
      <c r="F46" s="271"/>
      <c r="G46" s="271"/>
      <c r="H46" s="271"/>
      <c r="I46" s="271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>
        <v>38</v>
      </c>
      <c r="AA46" s="50"/>
      <c r="AB46" s="50"/>
      <c r="AC46" s="50"/>
      <c r="AD46" s="50"/>
      <c r="AE46" s="50"/>
      <c r="AF46" s="50"/>
      <c r="AG46" s="50"/>
      <c r="AH46" s="202"/>
      <c r="AI46" s="50"/>
      <c r="AJ46" s="50"/>
      <c r="AK46" s="202"/>
      <c r="AL46" s="202"/>
      <c r="AM46" s="202"/>
      <c r="AN46" s="202"/>
      <c r="AO46" s="202"/>
      <c r="AP46" s="202"/>
      <c r="AQ46" s="202"/>
      <c r="AR46" s="202"/>
      <c r="AS46" s="1022">
        <f t="shared" si="9"/>
        <v>38</v>
      </c>
      <c r="AT46" s="1052"/>
    </row>
    <row r="47" spans="1:47" s="402" customFormat="1" x14ac:dyDescent="0.2">
      <c r="A47" s="969" t="s">
        <v>479</v>
      </c>
      <c r="B47" s="271"/>
      <c r="C47" s="271"/>
      <c r="D47" s="271"/>
      <c r="E47" s="271"/>
      <c r="F47" s="271"/>
      <c r="G47" s="271"/>
      <c r="H47" s="271"/>
      <c r="I47" s="271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>
        <v>1</v>
      </c>
      <c r="AB47" s="50">
        <v>9</v>
      </c>
      <c r="AC47" s="50">
        <v>74</v>
      </c>
      <c r="AD47" s="50">
        <v>45</v>
      </c>
      <c r="AE47" s="50">
        <v>92</v>
      </c>
      <c r="AF47" s="50">
        <v>114</v>
      </c>
      <c r="AG47" s="50">
        <v>90</v>
      </c>
      <c r="AH47" s="202">
        <v>64</v>
      </c>
      <c r="AI47" s="50">
        <v>87</v>
      </c>
      <c r="AJ47" s="50">
        <v>68</v>
      </c>
      <c r="AK47" s="202"/>
      <c r="AL47" s="202">
        <v>99</v>
      </c>
      <c r="AM47" s="202">
        <v>322</v>
      </c>
      <c r="AN47" s="202">
        <v>921</v>
      </c>
      <c r="AO47" s="202">
        <v>410</v>
      </c>
      <c r="AP47" s="202">
        <v>107</v>
      </c>
      <c r="AQ47" s="202">
        <v>77</v>
      </c>
      <c r="AR47" s="202">
        <v>607</v>
      </c>
      <c r="AS47" s="1022">
        <f t="shared" si="9"/>
        <v>3187</v>
      </c>
      <c r="AT47" s="1052"/>
    </row>
    <row r="48" spans="1:47" s="402" customFormat="1" x14ac:dyDescent="0.2">
      <c r="A48" s="969" t="s">
        <v>480</v>
      </c>
      <c r="B48" s="271"/>
      <c r="C48" s="271"/>
      <c r="D48" s="271"/>
      <c r="E48" s="271"/>
      <c r="F48" s="271"/>
      <c r="G48" s="271"/>
      <c r="H48" s="271"/>
      <c r="I48" s="271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>
        <v>32</v>
      </c>
      <c r="AB48" s="50">
        <v>44</v>
      </c>
      <c r="AC48" s="50">
        <v>46</v>
      </c>
      <c r="AD48" s="50">
        <v>20</v>
      </c>
      <c r="AE48" s="50">
        <v>24</v>
      </c>
      <c r="AF48" s="50">
        <v>28</v>
      </c>
      <c r="AG48" s="50">
        <v>47</v>
      </c>
      <c r="AH48" s="202">
        <v>49</v>
      </c>
      <c r="AI48" s="50">
        <v>54</v>
      </c>
      <c r="AJ48" s="50">
        <v>17</v>
      </c>
      <c r="AK48" s="202"/>
      <c r="AL48" s="202">
        <v>16</v>
      </c>
      <c r="AM48" s="202">
        <v>15</v>
      </c>
      <c r="AN48" s="202">
        <v>17</v>
      </c>
      <c r="AO48" s="202">
        <v>21</v>
      </c>
      <c r="AP48" s="202">
        <v>9</v>
      </c>
      <c r="AQ48" s="202">
        <v>1</v>
      </c>
      <c r="AR48" s="202">
        <v>67</v>
      </c>
      <c r="AS48" s="1022">
        <f t="shared" si="9"/>
        <v>507</v>
      </c>
      <c r="AT48" s="1052"/>
    </row>
    <row r="49" spans="1:49" s="402" customFormat="1" ht="13.5" thickBot="1" x14ac:dyDescent="0.25">
      <c r="A49" s="972" t="s">
        <v>481</v>
      </c>
      <c r="B49" s="278"/>
      <c r="C49" s="278"/>
      <c r="D49" s="278"/>
      <c r="E49" s="278"/>
      <c r="F49" s="278"/>
      <c r="G49" s="278"/>
      <c r="H49" s="278"/>
      <c r="I49" s="278"/>
      <c r="J49" s="177"/>
      <c r="K49" s="177"/>
      <c r="L49" s="177"/>
      <c r="M49" s="177"/>
      <c r="N49" s="177"/>
      <c r="O49" s="177"/>
      <c r="P49" s="177"/>
      <c r="Q49" s="177">
        <v>8</v>
      </c>
      <c r="R49" s="177">
        <v>8</v>
      </c>
      <c r="S49" s="177">
        <v>28</v>
      </c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1053">
        <f t="shared" si="9"/>
        <v>44</v>
      </c>
      <c r="AT49" s="1052"/>
    </row>
    <row r="50" spans="1:49" ht="14.25" thickTop="1" thickBot="1" x14ac:dyDescent="0.25"/>
    <row r="51" spans="1:49" s="507" customFormat="1" ht="24" customHeight="1" thickTop="1" x14ac:dyDescent="0.2">
      <c r="A51" s="963" t="s">
        <v>55</v>
      </c>
      <c r="B51" s="964">
        <f>SUM(B52:B54)</f>
        <v>215</v>
      </c>
      <c r="C51" s="964">
        <f t="shared" ref="C51:AR51" si="10">SUM(C52:C54)</f>
        <v>8715</v>
      </c>
      <c r="D51" s="964">
        <f t="shared" si="10"/>
        <v>11875</v>
      </c>
      <c r="E51" s="964">
        <f t="shared" si="10"/>
        <v>15428</v>
      </c>
      <c r="F51" s="964">
        <f t="shared" si="10"/>
        <v>20536</v>
      </c>
      <c r="G51" s="964">
        <f t="shared" si="10"/>
        <v>19794</v>
      </c>
      <c r="H51" s="964">
        <f t="shared" si="10"/>
        <v>18590</v>
      </c>
      <c r="I51" s="964">
        <f t="shared" si="10"/>
        <v>14340</v>
      </c>
      <c r="J51" s="964">
        <f t="shared" si="10"/>
        <v>11141</v>
      </c>
      <c r="K51" s="964">
        <f t="shared" si="10"/>
        <v>12412</v>
      </c>
      <c r="L51" s="964">
        <f t="shared" si="10"/>
        <v>13512</v>
      </c>
      <c r="M51" s="964">
        <f t="shared" si="10"/>
        <v>18497</v>
      </c>
      <c r="N51" s="964">
        <f t="shared" si="10"/>
        <v>21433</v>
      </c>
      <c r="O51" s="964">
        <f t="shared" si="10"/>
        <v>20494</v>
      </c>
      <c r="P51" s="964">
        <f t="shared" si="10"/>
        <v>17389</v>
      </c>
      <c r="Q51" s="964">
        <f t="shared" si="10"/>
        <v>30218</v>
      </c>
      <c r="R51" s="964">
        <f t="shared" si="10"/>
        <v>45864</v>
      </c>
      <c r="S51" s="964">
        <f t="shared" si="10"/>
        <v>32271</v>
      </c>
      <c r="T51" s="965">
        <f t="shared" si="10"/>
        <v>16572</v>
      </c>
      <c r="U51" s="965">
        <f t="shared" si="10"/>
        <v>13866</v>
      </c>
      <c r="V51" s="965">
        <f t="shared" si="10"/>
        <v>25014</v>
      </c>
      <c r="W51" s="965">
        <f t="shared" si="10"/>
        <v>25588</v>
      </c>
      <c r="X51" s="965">
        <f t="shared" si="10"/>
        <v>17891</v>
      </c>
      <c r="Y51" s="965">
        <f t="shared" si="10"/>
        <v>10982</v>
      </c>
      <c r="Z51" s="965">
        <f t="shared" si="10"/>
        <v>6149</v>
      </c>
      <c r="AA51" s="965">
        <f t="shared" si="10"/>
        <v>6112</v>
      </c>
      <c r="AB51" s="965">
        <f t="shared" si="10"/>
        <v>15769</v>
      </c>
      <c r="AC51" s="965">
        <f t="shared" si="10"/>
        <v>20807</v>
      </c>
      <c r="AD51" s="965">
        <f t="shared" si="10"/>
        <v>11103</v>
      </c>
      <c r="AE51" s="965">
        <f t="shared" si="10"/>
        <v>14041</v>
      </c>
      <c r="AF51" s="965">
        <f t="shared" si="10"/>
        <v>13675</v>
      </c>
      <c r="AG51" s="965">
        <f t="shared" si="10"/>
        <v>11639</v>
      </c>
      <c r="AH51" s="965">
        <f t="shared" si="10"/>
        <v>8420</v>
      </c>
      <c r="AI51" s="965">
        <f t="shared" si="10"/>
        <v>8752</v>
      </c>
      <c r="AJ51" s="965">
        <f t="shared" si="10"/>
        <v>9105</v>
      </c>
      <c r="AK51" s="965">
        <f t="shared" si="10"/>
        <v>3909</v>
      </c>
      <c r="AL51" s="965">
        <f t="shared" si="10"/>
        <v>3600</v>
      </c>
      <c r="AM51" s="1054">
        <f t="shared" si="10"/>
        <v>3378</v>
      </c>
      <c r="AN51" s="1054">
        <f t="shared" si="10"/>
        <v>3662</v>
      </c>
      <c r="AO51" s="1054">
        <f t="shared" si="10"/>
        <v>0</v>
      </c>
      <c r="AP51" s="1054">
        <f t="shared" si="10"/>
        <v>1503</v>
      </c>
      <c r="AQ51" s="1054">
        <f t="shared" si="10"/>
        <v>1687</v>
      </c>
      <c r="AR51" s="1054">
        <f t="shared" si="10"/>
        <v>2952</v>
      </c>
      <c r="AS51" s="1055">
        <f>SUM(B51:AR51)</f>
        <v>588900</v>
      </c>
      <c r="AT51" s="967"/>
      <c r="AU51" s="968"/>
    </row>
    <row r="52" spans="1:49" ht="19.149999999999999" customHeight="1" x14ac:dyDescent="0.2">
      <c r="A52" s="969" t="s">
        <v>16</v>
      </c>
      <c r="B52" s="49">
        <v>215</v>
      </c>
      <c r="C52" s="49">
        <v>8715</v>
      </c>
      <c r="D52" s="49">
        <v>11875</v>
      </c>
      <c r="E52" s="49">
        <v>15428</v>
      </c>
      <c r="F52" s="49">
        <v>20536</v>
      </c>
      <c r="G52" s="49">
        <v>19794</v>
      </c>
      <c r="H52" s="49">
        <v>18590</v>
      </c>
      <c r="I52" s="49">
        <v>14340</v>
      </c>
      <c r="J52" s="49">
        <v>11141</v>
      </c>
      <c r="K52" s="49">
        <v>12412</v>
      </c>
      <c r="L52" s="49">
        <v>13512</v>
      </c>
      <c r="M52" s="50">
        <v>18497</v>
      </c>
      <c r="N52" s="50">
        <v>21433</v>
      </c>
      <c r="O52" s="50">
        <v>20494</v>
      </c>
      <c r="P52" s="50">
        <v>17389</v>
      </c>
      <c r="Q52" s="50">
        <v>30218</v>
      </c>
      <c r="R52" s="50">
        <v>45864</v>
      </c>
      <c r="S52" s="50">
        <v>32271</v>
      </c>
      <c r="T52" s="50">
        <v>16572</v>
      </c>
      <c r="U52" s="50">
        <v>13866</v>
      </c>
      <c r="V52" s="50">
        <v>25014</v>
      </c>
      <c r="W52" s="50">
        <v>25588</v>
      </c>
      <c r="X52" s="50">
        <v>17891</v>
      </c>
      <c r="Y52" s="50">
        <v>10982</v>
      </c>
      <c r="Z52" s="50">
        <v>6149</v>
      </c>
      <c r="AA52" s="50">
        <v>5774</v>
      </c>
      <c r="AB52" s="50">
        <v>12945</v>
      </c>
      <c r="AC52" s="50">
        <v>10901</v>
      </c>
      <c r="AD52" s="50">
        <v>9632</v>
      </c>
      <c r="AE52" s="50">
        <v>12604</v>
      </c>
      <c r="AF52" s="50">
        <v>9827</v>
      </c>
      <c r="AG52" s="50">
        <v>6681</v>
      </c>
      <c r="AH52" s="50">
        <v>5141</v>
      </c>
      <c r="AI52" s="50">
        <v>5821</v>
      </c>
      <c r="AJ52" s="50">
        <v>7054</v>
      </c>
      <c r="AK52" s="50">
        <v>3891</v>
      </c>
      <c r="AL52" s="50">
        <v>3600</v>
      </c>
      <c r="AM52" s="202">
        <v>3378</v>
      </c>
      <c r="AN52" s="202">
        <v>3662</v>
      </c>
      <c r="AO52" s="202"/>
      <c r="AP52" s="202">
        <v>1503</v>
      </c>
      <c r="AQ52" s="202">
        <v>1687</v>
      </c>
      <c r="AR52" s="167">
        <v>2952</v>
      </c>
      <c r="AS52" s="1056">
        <f t="shared" ref="AS52:AS54" si="11">SUM(B52:AR52)</f>
        <v>555839</v>
      </c>
      <c r="AT52" s="332"/>
    </row>
    <row r="53" spans="1:49" ht="19.149999999999999" customHeight="1" x14ac:dyDescent="0.2">
      <c r="A53" s="970" t="s">
        <v>56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22"/>
      <c r="T53" s="122"/>
      <c r="U53" s="122"/>
      <c r="V53" s="122"/>
      <c r="W53" s="122"/>
      <c r="X53" s="122"/>
      <c r="Y53" s="122"/>
      <c r="Z53" s="122"/>
      <c r="AA53" s="122"/>
      <c r="AB53" s="122">
        <v>2630</v>
      </c>
      <c r="AC53" s="122">
        <v>9584</v>
      </c>
      <c r="AD53" s="122">
        <v>1096</v>
      </c>
      <c r="AE53" s="122">
        <v>781</v>
      </c>
      <c r="AF53" s="122">
        <v>3323</v>
      </c>
      <c r="AG53" s="122">
        <v>4415</v>
      </c>
      <c r="AH53" s="122">
        <v>2765</v>
      </c>
      <c r="AI53" s="122">
        <v>2274</v>
      </c>
      <c r="AJ53" s="122">
        <v>1315</v>
      </c>
      <c r="AK53" s="122">
        <v>18</v>
      </c>
      <c r="AL53" s="122"/>
      <c r="AM53" s="121"/>
      <c r="AN53" s="121"/>
      <c r="AO53" s="121"/>
      <c r="AP53" s="121"/>
      <c r="AQ53" s="121"/>
      <c r="AR53" s="123"/>
      <c r="AS53" s="1057">
        <f t="shared" si="11"/>
        <v>28201</v>
      </c>
      <c r="AT53" s="332"/>
    </row>
    <row r="54" spans="1:49" ht="19.149999999999999" customHeight="1" thickBot="1" x14ac:dyDescent="0.25">
      <c r="A54" s="972" t="s">
        <v>460</v>
      </c>
      <c r="B54" s="973"/>
      <c r="C54" s="973"/>
      <c r="D54" s="973"/>
      <c r="E54" s="973"/>
      <c r="F54" s="973"/>
      <c r="G54" s="973"/>
      <c r="H54" s="973"/>
      <c r="I54" s="973"/>
      <c r="J54" s="973"/>
      <c r="K54" s="973"/>
      <c r="L54" s="973"/>
      <c r="M54" s="973"/>
      <c r="N54" s="973"/>
      <c r="O54" s="973"/>
      <c r="P54" s="973"/>
      <c r="Q54" s="973"/>
      <c r="R54" s="973"/>
      <c r="S54" s="177"/>
      <c r="T54" s="177"/>
      <c r="U54" s="177"/>
      <c r="V54" s="177"/>
      <c r="W54" s="177"/>
      <c r="X54" s="177"/>
      <c r="Y54" s="177"/>
      <c r="Z54" s="177"/>
      <c r="AA54" s="177">
        <v>338</v>
      </c>
      <c r="AB54" s="177">
        <v>194</v>
      </c>
      <c r="AC54" s="177">
        <v>322</v>
      </c>
      <c r="AD54" s="177">
        <v>375</v>
      </c>
      <c r="AE54" s="177">
        <v>656</v>
      </c>
      <c r="AF54" s="177">
        <v>525</v>
      </c>
      <c r="AG54" s="177">
        <v>543</v>
      </c>
      <c r="AH54" s="177">
        <v>514</v>
      </c>
      <c r="AI54" s="177">
        <v>657</v>
      </c>
      <c r="AJ54" s="177">
        <v>736</v>
      </c>
      <c r="AK54" s="177">
        <v>0</v>
      </c>
      <c r="AL54" s="177"/>
      <c r="AM54" s="275"/>
      <c r="AN54" s="275"/>
      <c r="AO54" s="275"/>
      <c r="AP54" s="275"/>
      <c r="AQ54" s="275"/>
      <c r="AR54" s="279"/>
      <c r="AS54" s="1058">
        <f t="shared" si="11"/>
        <v>4860</v>
      </c>
      <c r="AT54" s="332"/>
      <c r="AU54" s="652"/>
      <c r="AW54" s="652"/>
    </row>
    <row r="55" spans="1:49" ht="13.5" thickTop="1" x14ac:dyDescent="0.2"/>
    <row r="56" spans="1:49" ht="13.5" thickBot="1" x14ac:dyDescent="0.25"/>
    <row r="57" spans="1:49" ht="15.75" x14ac:dyDescent="0.25">
      <c r="A57" s="1059" t="s">
        <v>497</v>
      </c>
      <c r="B57" s="1060">
        <v>1981</v>
      </c>
      <c r="C57" s="1060">
        <f t="shared" ref="C57:K57" si="12">+B57+1</f>
        <v>1982</v>
      </c>
      <c r="D57" s="1060">
        <f t="shared" si="12"/>
        <v>1983</v>
      </c>
      <c r="E57" s="1060">
        <f t="shared" si="12"/>
        <v>1984</v>
      </c>
      <c r="F57" s="1060">
        <f t="shared" si="12"/>
        <v>1985</v>
      </c>
      <c r="G57" s="1060">
        <f t="shared" si="12"/>
        <v>1986</v>
      </c>
      <c r="H57" s="1060">
        <f t="shared" si="12"/>
        <v>1987</v>
      </c>
      <c r="I57" s="1060">
        <f t="shared" si="12"/>
        <v>1988</v>
      </c>
      <c r="J57" s="1060">
        <f t="shared" si="12"/>
        <v>1989</v>
      </c>
      <c r="K57" s="1060">
        <f t="shared" si="12"/>
        <v>1990</v>
      </c>
      <c r="L57" s="1060">
        <v>1991</v>
      </c>
      <c r="M57" s="1060">
        <v>1992</v>
      </c>
      <c r="N57" s="1060">
        <v>1993</v>
      </c>
      <c r="O57" s="1060">
        <v>1994</v>
      </c>
      <c r="P57" s="1060">
        <v>1995</v>
      </c>
      <c r="Q57" s="1060">
        <v>1996</v>
      </c>
      <c r="R57" s="1060">
        <v>1997</v>
      </c>
      <c r="S57" s="1060">
        <v>1998</v>
      </c>
      <c r="T57" s="1060">
        <v>1999</v>
      </c>
      <c r="U57" s="1060">
        <v>2000</v>
      </c>
      <c r="V57" s="1060">
        <v>2001</v>
      </c>
      <c r="W57" s="1060">
        <v>2002</v>
      </c>
      <c r="X57" s="1060">
        <v>2003</v>
      </c>
      <c r="Y57" s="1060">
        <v>2004</v>
      </c>
      <c r="Z57" s="1060">
        <v>2005</v>
      </c>
      <c r="AA57" s="1060">
        <v>2006</v>
      </c>
      <c r="AB57" s="1060">
        <v>2007</v>
      </c>
      <c r="AC57" s="1060">
        <v>2008</v>
      </c>
      <c r="AD57" s="1060">
        <v>2009</v>
      </c>
      <c r="AE57" s="1060">
        <v>2010</v>
      </c>
      <c r="AF57" s="1060">
        <v>2011</v>
      </c>
      <c r="AG57" s="1060">
        <v>2012</v>
      </c>
      <c r="AH57" s="1060">
        <v>2013</v>
      </c>
      <c r="AI57" s="1060">
        <v>2014</v>
      </c>
      <c r="AJ57" s="1060">
        <v>2015</v>
      </c>
      <c r="AK57" s="1060">
        <v>2016</v>
      </c>
      <c r="AL57" s="1060">
        <v>2017</v>
      </c>
      <c r="AM57" s="1060">
        <v>2018</v>
      </c>
      <c r="AN57" s="1060">
        <v>2019</v>
      </c>
      <c r="AO57" s="1060">
        <v>2020</v>
      </c>
      <c r="AP57" s="1060">
        <v>2021</v>
      </c>
      <c r="AQ57" s="1060">
        <v>2022</v>
      </c>
      <c r="AR57" s="1060">
        <v>2023</v>
      </c>
      <c r="AS57" s="1061" t="s">
        <v>458</v>
      </c>
    </row>
    <row r="58" spans="1:49" x14ac:dyDescent="0.2">
      <c r="A58" s="1062" t="s">
        <v>498</v>
      </c>
      <c r="B58" s="306">
        <v>48386</v>
      </c>
      <c r="C58" s="306">
        <v>74536</v>
      </c>
      <c r="D58" s="306">
        <v>79603</v>
      </c>
      <c r="E58" s="306">
        <v>123798</v>
      </c>
      <c r="F58" s="306">
        <v>111230</v>
      </c>
      <c r="G58" s="306">
        <v>115747</v>
      </c>
      <c r="H58" s="306">
        <v>93788</v>
      </c>
      <c r="I58" s="306">
        <v>85886</v>
      </c>
      <c r="J58" s="306">
        <v>83831</v>
      </c>
      <c r="K58" s="306">
        <v>79773</v>
      </c>
      <c r="L58" s="306">
        <v>76184</v>
      </c>
      <c r="M58" s="306">
        <v>73596</v>
      </c>
      <c r="N58" s="306">
        <v>85224</v>
      </c>
      <c r="O58" s="306">
        <v>84554</v>
      </c>
      <c r="P58" s="306">
        <v>81047</v>
      </c>
      <c r="Q58" s="306">
        <v>68590</v>
      </c>
      <c r="R58" s="306">
        <v>56418</v>
      </c>
      <c r="S58" s="306">
        <v>43192</v>
      </c>
      <c r="T58" s="306">
        <v>35054</v>
      </c>
      <c r="U58" s="306">
        <v>42046</v>
      </c>
      <c r="V58" s="306">
        <v>47266</v>
      </c>
      <c r="W58" s="306">
        <v>44062</v>
      </c>
      <c r="X58" s="306">
        <v>50117</v>
      </c>
      <c r="Y58" s="306">
        <v>53902</v>
      </c>
      <c r="Z58" s="306">
        <v>49492</v>
      </c>
      <c r="AA58" s="306">
        <v>73077</v>
      </c>
      <c r="AB58" s="306">
        <v>77696</v>
      </c>
      <c r="AC58" s="306">
        <v>74208</v>
      </c>
      <c r="AD58" s="306">
        <v>67232</v>
      </c>
      <c r="AE58" s="306">
        <v>72084</v>
      </c>
      <c r="AF58" s="306">
        <v>62354</v>
      </c>
      <c r="AG58" s="306">
        <v>45480</v>
      </c>
      <c r="AH58" s="306">
        <v>33940</v>
      </c>
      <c r="AI58" s="306">
        <v>35471</v>
      </c>
      <c r="AJ58" s="306">
        <v>27795</v>
      </c>
      <c r="AK58" s="306">
        <v>22416</v>
      </c>
      <c r="AL58" s="306">
        <v>24893</v>
      </c>
      <c r="AM58" s="306">
        <v>20980</v>
      </c>
      <c r="AN58" s="306">
        <v>16955</v>
      </c>
      <c r="AO58" s="306">
        <v>3786</v>
      </c>
      <c r="AP58" s="306">
        <v>8626</v>
      </c>
      <c r="AQ58" s="306">
        <v>13824</v>
      </c>
      <c r="AR58" s="306">
        <v>15936</v>
      </c>
      <c r="AS58" s="1063">
        <f>SUM(B58:AR58)</f>
        <v>2484075</v>
      </c>
    </row>
    <row r="59" spans="1:49" x14ac:dyDescent="0.2">
      <c r="A59" s="1062" t="s">
        <v>499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>
        <v>50098</v>
      </c>
      <c r="W59" s="306">
        <v>48227</v>
      </c>
      <c r="X59" s="306">
        <v>38163</v>
      </c>
      <c r="Y59" s="306">
        <v>40858</v>
      </c>
      <c r="Z59" s="306">
        <v>47864</v>
      </c>
      <c r="AA59" s="306">
        <v>55819</v>
      </c>
      <c r="AB59" s="306">
        <v>56888</v>
      </c>
      <c r="AC59" s="306">
        <v>64982</v>
      </c>
      <c r="AD59" s="306">
        <v>90085</v>
      </c>
      <c r="AE59" s="306">
        <v>54935</v>
      </c>
      <c r="AF59" s="306">
        <v>48252</v>
      </c>
      <c r="AG59" s="306">
        <v>37769</v>
      </c>
      <c r="AH59" s="306">
        <v>44562</v>
      </c>
      <c r="AI59" s="306">
        <v>69821</v>
      </c>
      <c r="AJ59" s="306">
        <v>51043</v>
      </c>
      <c r="AK59" s="306">
        <v>25866</v>
      </c>
      <c r="AL59" s="306">
        <v>41233</v>
      </c>
      <c r="AM59" s="306">
        <v>15985</v>
      </c>
      <c r="AN59" s="306">
        <v>19711</v>
      </c>
      <c r="AO59" s="306">
        <v>18921</v>
      </c>
      <c r="AP59" s="306">
        <v>11016</v>
      </c>
      <c r="AQ59" s="306">
        <v>15361</v>
      </c>
      <c r="AR59" s="306">
        <v>13274</v>
      </c>
      <c r="AS59" s="1063">
        <f>SUM(B59:AR59)</f>
        <v>960733</v>
      </c>
    </row>
    <row r="60" spans="1:49" x14ac:dyDescent="0.2">
      <c r="A60" s="1062" t="s">
        <v>500</v>
      </c>
      <c r="S60" s="306"/>
      <c r="T60" s="306"/>
      <c r="U60" s="306"/>
      <c r="V60" s="306">
        <v>26588</v>
      </c>
      <c r="W60" s="306">
        <v>4590</v>
      </c>
      <c r="X60" s="306">
        <v>20852</v>
      </c>
      <c r="Y60" s="306">
        <v>15021</v>
      </c>
      <c r="Z60" s="306">
        <v>19547</v>
      </c>
      <c r="AA60" s="306">
        <v>26502</v>
      </c>
      <c r="AB60" s="306">
        <v>30991</v>
      </c>
      <c r="AC60" s="306">
        <v>19390</v>
      </c>
      <c r="AD60" s="306">
        <v>15350</v>
      </c>
      <c r="AE60" s="306">
        <v>12818</v>
      </c>
      <c r="AF60" s="306">
        <v>49014</v>
      </c>
      <c r="AG60" s="306">
        <v>61820</v>
      </c>
      <c r="AH60" s="306">
        <v>68510</v>
      </c>
      <c r="AI60" s="306">
        <v>92502</v>
      </c>
      <c r="AJ60" s="306">
        <v>70567</v>
      </c>
      <c r="AK60" s="306">
        <v>64596</v>
      </c>
      <c r="AL60" s="306">
        <v>45492</v>
      </c>
      <c r="AM60" s="306">
        <v>29444</v>
      </c>
      <c r="AN60" s="306">
        <v>80695</v>
      </c>
      <c r="AO60" s="306">
        <v>80940</v>
      </c>
      <c r="AP60" s="306">
        <v>65236</v>
      </c>
      <c r="AQ60" s="306">
        <v>53446</v>
      </c>
      <c r="AR60" s="306">
        <v>57840</v>
      </c>
      <c r="AS60" s="1063">
        <f>SUM(B60:AR60)</f>
        <v>1011751</v>
      </c>
    </row>
    <row r="61" spans="1:49" x14ac:dyDescent="0.2">
      <c r="A61" s="1062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1063"/>
    </row>
    <row r="62" spans="1:49" x14ac:dyDescent="0.2">
      <c r="A62" s="1062" t="s">
        <v>501</v>
      </c>
      <c r="L62" s="306">
        <v>5074</v>
      </c>
      <c r="M62" s="306">
        <v>4878</v>
      </c>
      <c r="N62" s="306">
        <v>4676</v>
      </c>
      <c r="O62" s="306">
        <v>7209</v>
      </c>
      <c r="P62" s="306">
        <v>6453</v>
      </c>
      <c r="Q62" s="306">
        <v>5082</v>
      </c>
      <c r="R62" s="306">
        <v>5688</v>
      </c>
      <c r="S62" s="306">
        <v>4965</v>
      </c>
      <c r="T62" s="306">
        <v>5415</v>
      </c>
      <c r="U62" s="306">
        <v>5326</v>
      </c>
      <c r="V62" s="306">
        <v>7346</v>
      </c>
      <c r="W62" s="306">
        <v>6728</v>
      </c>
      <c r="X62" s="306">
        <v>8691</v>
      </c>
      <c r="Y62" s="306">
        <v>7590</v>
      </c>
      <c r="Z62" s="306">
        <v>8544</v>
      </c>
      <c r="AA62" s="306">
        <v>12140</v>
      </c>
      <c r="AB62" s="306">
        <v>11393</v>
      </c>
      <c r="AC62" s="306">
        <v>11460</v>
      </c>
      <c r="AD62" s="306">
        <v>11835</v>
      </c>
      <c r="AE62" s="306">
        <v>13023</v>
      </c>
      <c r="AF62" s="306">
        <v>11542</v>
      </c>
      <c r="AG62" s="306">
        <v>11962</v>
      </c>
      <c r="AH62" s="306">
        <v>11990</v>
      </c>
      <c r="AI62" s="306">
        <v>12631</v>
      </c>
      <c r="AJ62" s="306">
        <v>12086</v>
      </c>
      <c r="AK62" s="306">
        <v>12019</v>
      </c>
      <c r="AL62" s="306">
        <v>11466</v>
      </c>
      <c r="AM62" s="306">
        <v>8336</v>
      </c>
      <c r="AN62" s="306">
        <v>5099</v>
      </c>
      <c r="AO62" s="306">
        <v>2464</v>
      </c>
      <c r="AP62" s="306">
        <v>2702</v>
      </c>
      <c r="AQ62" s="306">
        <v>2574</v>
      </c>
      <c r="AR62" s="306">
        <v>2225</v>
      </c>
      <c r="AS62" s="1063">
        <f>SUM(B62:AR62)</f>
        <v>260612</v>
      </c>
    </row>
    <row r="63" spans="1:49" x14ac:dyDescent="0.2">
      <c r="A63" s="1062" t="s">
        <v>502</v>
      </c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>
        <v>362</v>
      </c>
      <c r="AC63" s="306">
        <v>138</v>
      </c>
      <c r="AD63" s="306">
        <v>201</v>
      </c>
      <c r="AE63" s="306">
        <v>205</v>
      </c>
      <c r="AF63" s="306">
        <v>148</v>
      </c>
      <c r="AG63" s="306">
        <v>127</v>
      </c>
      <c r="AH63" s="306">
        <v>111</v>
      </c>
      <c r="AI63" s="306">
        <v>191</v>
      </c>
      <c r="AJ63" s="306">
        <v>167</v>
      </c>
      <c r="AK63" s="306">
        <v>89</v>
      </c>
      <c r="AL63" s="306">
        <v>48</v>
      </c>
      <c r="AM63" s="306">
        <v>174</v>
      </c>
      <c r="AN63" s="306">
        <v>1556</v>
      </c>
      <c r="AO63" s="306">
        <v>1230</v>
      </c>
      <c r="AP63" s="306">
        <v>400</v>
      </c>
      <c r="AQ63" s="306">
        <v>536</v>
      </c>
      <c r="AR63" s="306">
        <v>804</v>
      </c>
      <c r="AS63" s="1063">
        <f>SUM(B63:AR63)</f>
        <v>6487</v>
      </c>
    </row>
    <row r="64" spans="1:49" ht="13.5" thickBot="1" x14ac:dyDescent="0.25">
      <c r="A64" s="1064" t="s">
        <v>503</v>
      </c>
      <c r="B64" s="1065"/>
      <c r="C64" s="1065"/>
      <c r="D64" s="1065"/>
      <c r="E64" s="1065"/>
      <c r="F64" s="1065"/>
      <c r="G64" s="1065"/>
      <c r="H64" s="1065"/>
      <c r="I64" s="1065"/>
      <c r="J64" s="1065"/>
      <c r="K64" s="1065"/>
      <c r="L64" s="1066"/>
      <c r="M64" s="1066"/>
      <c r="N64" s="1066"/>
      <c r="O64" s="1066"/>
      <c r="P64" s="1066"/>
      <c r="Q64" s="1066"/>
      <c r="R64" s="1066"/>
      <c r="S64" s="1066"/>
      <c r="T64" s="1066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6"/>
      <c r="AE64" s="1066"/>
      <c r="AF64" s="1066"/>
      <c r="AG64" s="1066"/>
      <c r="AH64" s="1066"/>
      <c r="AI64" s="1066"/>
      <c r="AJ64" s="1066"/>
      <c r="AK64" s="1066"/>
      <c r="AL64" s="1066"/>
      <c r="AM64" s="1066"/>
      <c r="AN64" s="1066"/>
      <c r="AO64" s="1066">
        <v>1321</v>
      </c>
      <c r="AP64" s="1066">
        <v>1649</v>
      </c>
      <c r="AQ64" s="1066">
        <v>2559</v>
      </c>
      <c r="AR64" s="1066">
        <v>2079</v>
      </c>
      <c r="AS64" s="1067">
        <f>SUM(B64:AR64)</f>
        <v>7608</v>
      </c>
    </row>
    <row r="65" spans="1:45" ht="13.5" thickBot="1" x14ac:dyDescent="0.25"/>
    <row r="66" spans="1:45" ht="15.75" x14ac:dyDescent="0.25">
      <c r="A66" s="1059" t="s">
        <v>504</v>
      </c>
    </row>
    <row r="67" spans="1:45" ht="13.5" thickBot="1" x14ac:dyDescent="0.25"/>
    <row r="68" spans="1:45" x14ac:dyDescent="0.2">
      <c r="A68" s="1068" t="s">
        <v>505</v>
      </c>
      <c r="B68" s="1060"/>
      <c r="C68" s="1060"/>
      <c r="D68" s="1060"/>
      <c r="E68" s="1060"/>
      <c r="F68" s="1060"/>
      <c r="G68" s="1060"/>
      <c r="H68" s="1060">
        <v>1987</v>
      </c>
      <c r="I68" s="1060">
        <v>1988</v>
      </c>
      <c r="J68" s="1060">
        <v>1989</v>
      </c>
      <c r="K68" s="1060">
        <v>1990</v>
      </c>
      <c r="L68" s="1060">
        <v>1991</v>
      </c>
      <c r="M68" s="1060">
        <v>1992</v>
      </c>
      <c r="N68" s="1060">
        <v>1993</v>
      </c>
      <c r="O68" s="1060">
        <v>1994</v>
      </c>
      <c r="P68" s="1060">
        <v>1995</v>
      </c>
      <c r="Q68" s="1060">
        <v>1996</v>
      </c>
      <c r="R68" s="1060">
        <v>1997</v>
      </c>
      <c r="S68" s="1060">
        <v>1998</v>
      </c>
      <c r="T68" s="1060">
        <v>1999</v>
      </c>
      <c r="U68" s="1060">
        <v>2000</v>
      </c>
      <c r="V68" s="1060">
        <v>2001</v>
      </c>
      <c r="W68" s="1060">
        <v>2002</v>
      </c>
      <c r="X68" s="1060">
        <v>2003</v>
      </c>
      <c r="Y68" s="1060">
        <v>2004</v>
      </c>
      <c r="Z68" s="1060">
        <v>2005</v>
      </c>
      <c r="AA68" s="1060">
        <v>2006</v>
      </c>
      <c r="AB68" s="1060">
        <v>2007</v>
      </c>
      <c r="AC68" s="1060">
        <v>2008</v>
      </c>
      <c r="AD68" s="1060">
        <v>2009</v>
      </c>
      <c r="AE68" s="1060">
        <v>2010</v>
      </c>
      <c r="AF68" s="1060">
        <v>2011</v>
      </c>
      <c r="AG68" s="1060">
        <v>2012</v>
      </c>
      <c r="AH68" s="1060">
        <v>2013</v>
      </c>
      <c r="AI68" s="1060">
        <v>2014</v>
      </c>
      <c r="AJ68" s="1060">
        <v>2015</v>
      </c>
      <c r="AK68" s="1060">
        <v>2016</v>
      </c>
      <c r="AL68" s="1060">
        <v>2017</v>
      </c>
      <c r="AM68" s="1060">
        <v>2018</v>
      </c>
      <c r="AN68" s="1060">
        <v>2019</v>
      </c>
      <c r="AO68" s="1060">
        <v>2020</v>
      </c>
      <c r="AP68" s="1060">
        <v>2021</v>
      </c>
      <c r="AQ68" s="1060">
        <v>2022</v>
      </c>
      <c r="AR68" s="1060">
        <v>2023</v>
      </c>
      <c r="AS68" s="1061" t="s">
        <v>458</v>
      </c>
    </row>
    <row r="69" spans="1:45" x14ac:dyDescent="0.2">
      <c r="A69" s="1069" t="s">
        <v>204</v>
      </c>
      <c r="H69" s="306">
        <v>977</v>
      </c>
      <c r="I69" s="306">
        <v>8623</v>
      </c>
      <c r="J69" s="306">
        <v>32596</v>
      </c>
      <c r="K69" s="306">
        <v>94769</v>
      </c>
      <c r="L69" s="306">
        <v>161409</v>
      </c>
      <c r="M69" s="306">
        <v>224076</v>
      </c>
      <c r="N69" s="306">
        <v>293604</v>
      </c>
      <c r="O69" s="306">
        <v>364213</v>
      </c>
      <c r="P69" s="306">
        <v>425083</v>
      </c>
      <c r="Q69" s="306">
        <v>479905</v>
      </c>
      <c r="R69" s="306">
        <v>532240</v>
      </c>
      <c r="S69" s="306">
        <v>574330</v>
      </c>
      <c r="T69" s="306">
        <v>615346</v>
      </c>
      <c r="U69" s="306">
        <v>656808</v>
      </c>
      <c r="V69" s="306">
        <v>673287</v>
      </c>
      <c r="W69" s="306">
        <v>703262</v>
      </c>
      <c r="X69" s="306">
        <v>713432</v>
      </c>
      <c r="Y69" s="306">
        <v>715578</v>
      </c>
      <c r="Z69" s="306">
        <v>721728</v>
      </c>
      <c r="AA69" s="306">
        <v>742395</v>
      </c>
      <c r="AB69" s="306">
        <v>761569</v>
      </c>
      <c r="AC69" s="306">
        <v>772806</v>
      </c>
      <c r="AD69" s="306">
        <v>784965</v>
      </c>
      <c r="AE69" s="306">
        <v>791791</v>
      </c>
      <c r="AF69" s="306">
        <v>799812</v>
      </c>
      <c r="AG69" s="306">
        <v>810217</v>
      </c>
      <c r="AH69" s="306">
        <v>824883</v>
      </c>
      <c r="AI69" s="306">
        <v>810074</v>
      </c>
      <c r="AJ69" s="306">
        <v>802455</v>
      </c>
      <c r="AK69" s="306">
        <v>785068</v>
      </c>
      <c r="AL69" s="306">
        <v>751023</v>
      </c>
      <c r="AM69" s="306">
        <v>710643</v>
      </c>
      <c r="AN69" s="306">
        <v>703601</v>
      </c>
      <c r="AO69" s="306">
        <v>696517</v>
      </c>
      <c r="AP69" s="306">
        <v>690587</v>
      </c>
      <c r="AQ69" s="306">
        <v>677825</v>
      </c>
      <c r="AR69" s="306">
        <v>652942</v>
      </c>
      <c r="AS69" s="1063"/>
    </row>
    <row r="70" spans="1:45" x14ac:dyDescent="0.2">
      <c r="A70" s="1069" t="s">
        <v>237</v>
      </c>
      <c r="X70" s="306"/>
      <c r="Y70" s="306"/>
      <c r="Z70" s="306"/>
      <c r="AA70" s="306"/>
      <c r="AB70" s="306"/>
      <c r="AC70" s="306"/>
      <c r="AD70" s="306">
        <v>20416</v>
      </c>
      <c r="AE70" s="306">
        <v>20345</v>
      </c>
      <c r="AF70" s="306">
        <v>20233</v>
      </c>
      <c r="AG70" s="306">
        <v>20908</v>
      </c>
      <c r="AH70" s="306">
        <v>21623</v>
      </c>
      <c r="AI70" s="306">
        <v>21162</v>
      </c>
      <c r="AJ70" s="306">
        <v>21099</v>
      </c>
      <c r="AK70" s="306">
        <v>20924</v>
      </c>
      <c r="AL70" s="306">
        <v>20662</v>
      </c>
      <c r="AM70" s="306">
        <v>20397</v>
      </c>
      <c r="AN70" s="306">
        <v>19854</v>
      </c>
      <c r="AO70" s="306">
        <v>19253</v>
      </c>
      <c r="AP70" s="306">
        <v>18883</v>
      </c>
      <c r="AQ70" s="306">
        <v>18162</v>
      </c>
      <c r="AR70" s="306">
        <v>17178</v>
      </c>
      <c r="AS70" s="1063"/>
    </row>
    <row r="71" spans="1:45" x14ac:dyDescent="0.2">
      <c r="A71" s="1069" t="s">
        <v>221</v>
      </c>
      <c r="X71" s="306"/>
      <c r="Y71" s="306"/>
      <c r="Z71" s="306"/>
      <c r="AA71" s="306"/>
      <c r="AB71" s="306"/>
      <c r="AC71" s="306"/>
      <c r="AD71" s="306">
        <v>463</v>
      </c>
      <c r="AE71" s="306">
        <v>486</v>
      </c>
      <c r="AF71" s="306">
        <v>494</v>
      </c>
      <c r="AG71" s="306">
        <v>512</v>
      </c>
      <c r="AH71" s="306">
        <v>520</v>
      </c>
      <c r="AI71" s="306">
        <v>523</v>
      </c>
      <c r="AJ71" s="306">
        <v>536</v>
      </c>
      <c r="AK71" s="306">
        <v>549</v>
      </c>
      <c r="AL71" s="306">
        <v>566</v>
      </c>
      <c r="AM71" s="306">
        <v>604</v>
      </c>
      <c r="AN71" s="306">
        <v>624</v>
      </c>
      <c r="AO71" s="306">
        <v>664</v>
      </c>
      <c r="AP71" s="306">
        <v>670</v>
      </c>
      <c r="AQ71" s="306">
        <v>691</v>
      </c>
      <c r="AR71" s="306">
        <v>738</v>
      </c>
      <c r="AS71" s="1063"/>
    </row>
    <row r="72" spans="1:45" x14ac:dyDescent="0.2">
      <c r="A72" s="1069" t="s">
        <v>235</v>
      </c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>
        <v>343</v>
      </c>
      <c r="AM72" s="306">
        <v>337</v>
      </c>
      <c r="AN72" s="306">
        <v>345</v>
      </c>
      <c r="AO72" s="306">
        <v>335</v>
      </c>
      <c r="AP72" s="306">
        <v>329</v>
      </c>
      <c r="AQ72" s="306">
        <v>328</v>
      </c>
      <c r="AR72" s="306">
        <v>324</v>
      </c>
      <c r="AS72" s="1070"/>
    </row>
    <row r="73" spans="1:45" ht="13.5" thickBot="1" x14ac:dyDescent="0.25">
      <c r="A73" s="1071"/>
      <c r="B73" s="901"/>
      <c r="C73" s="901"/>
      <c r="D73" s="901"/>
      <c r="E73" s="901"/>
      <c r="F73" s="901"/>
      <c r="G73" s="901"/>
      <c r="H73" s="901"/>
      <c r="I73" s="901"/>
      <c r="J73" s="901"/>
      <c r="K73" s="901"/>
      <c r="L73" s="901"/>
      <c r="M73" s="901"/>
      <c r="N73" s="901"/>
      <c r="O73" s="901"/>
      <c r="P73" s="901"/>
      <c r="Q73" s="901"/>
      <c r="R73" s="901"/>
      <c r="S73" s="901"/>
      <c r="T73" s="901"/>
      <c r="U73" s="901"/>
      <c r="V73" s="901"/>
      <c r="W73" s="901"/>
      <c r="X73" s="901"/>
      <c r="Y73" s="901"/>
      <c r="Z73" s="901"/>
      <c r="AA73" s="901"/>
      <c r="AB73" s="901"/>
      <c r="AC73" s="901"/>
      <c r="AD73" s="901"/>
      <c r="AE73" s="901"/>
      <c r="AF73" s="901"/>
      <c r="AG73" s="901"/>
      <c r="AH73" s="901"/>
      <c r="AI73" s="901"/>
      <c r="AJ73" s="901"/>
      <c r="AK73" s="901"/>
      <c r="AL73" s="901"/>
      <c r="AM73" s="901"/>
      <c r="AN73" s="901"/>
      <c r="AO73" s="901"/>
      <c r="AP73" s="901"/>
      <c r="AQ73" s="901"/>
      <c r="AR73" s="901"/>
      <c r="AS73" s="107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5cdb80-29a5-403f-961d-5d96f3e310b8">
      <UserInfo>
        <DisplayName/>
        <AccountId xsi:nil="true"/>
        <AccountType/>
      </UserInfo>
    </SharedWithUsers>
    <Sequence_x0020_Number xmlns="C21C2B10-C1AA-45DA-893D-298D2F1AD87A" xsi:nil="true"/>
    <CaseSubjects xmlns="8b86ae58-4ff9-4300-8876-bb89783e485c" xsi:nil="true"/>
    <Pgs xmlns="C21C2B10-C1AA-45DA-893D-298D2F1AD87A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MB xmlns="C21C2B10-C1AA-45DA-893D-298D2F1AD87A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12E0835F6CA4BB8CC7B7BD71F6D44" ma:contentTypeVersion="" ma:contentTypeDescription="Create a new document." ma:contentTypeScope="" ma:versionID="32c14a2f156a2b6226598baaa11ec874">
  <xsd:schema xmlns:xsd="http://www.w3.org/2001/XMLSchema" xmlns:xs="http://www.w3.org/2001/XMLSchema" xmlns:p="http://schemas.microsoft.com/office/2006/metadata/properties" xmlns:ns2="c85253b9-0a55-49a1-98ad-b5b6252d7079" xmlns:ns3="C21C2B10-C1AA-45DA-893D-298D2F1AD87A" xmlns:ns4="8b86ae58-4ff9-4300-8876-bb89783e485c" xmlns:ns5="d45cdb80-29a5-403f-961d-5d96f3e310b8" targetNamespace="http://schemas.microsoft.com/office/2006/metadata/properties" ma:root="true" ma:fieldsID="c719e3741b1099f9392622f7fdac691e" ns2:_="" ns3:_="" ns4:_="" ns5:_="">
    <xsd:import namespace="c85253b9-0a55-49a1-98ad-b5b6252d7079"/>
    <xsd:import namespace="C21C2B10-C1AA-45DA-893D-298D2F1AD87A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C2B10-C1AA-45DA-893D-298D2F1AD87A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540E2-D612-4D23-94F1-B4A6EA6AE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733E0-8571-4B86-AF92-06DD5279D2B3}">
  <ds:schemaRefs>
    <ds:schemaRef ds:uri="b1d5bd79-d303-41c1-8eea-1ffab55a9c6c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0ea24b7d-6851-4ac3-b69a-5f8ab1c272a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d45cdb80-29a5-403f-961d-5d96f3e310b8"/>
    <ds:schemaRef ds:uri="C21C2B10-C1AA-45DA-893D-298D2F1AD87A"/>
    <ds:schemaRef ds:uri="8b86ae58-4ff9-4300-8876-bb89783e485c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B0A7BF0D-31FE-4943-A187-E0E4AB9EC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C21C2B10-C1AA-45DA-893D-298D2F1AD87A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JNF-1</vt:lpstr>
      <vt:lpstr>RES Gen</vt:lpstr>
      <vt:lpstr>BS Gen</vt:lpstr>
      <vt:lpstr>DR</vt:lpstr>
      <vt:lpstr>RES GWH Cum</vt:lpstr>
      <vt:lpstr>BS Gen Cum</vt:lpstr>
      <vt:lpstr>Res. Installs Discontinued</vt:lpstr>
      <vt:lpstr>BS Installs Discontinued</vt:lpstr>
      <vt:lpstr>Installs</vt:lpstr>
      <vt:lpstr>Total Raw Data</vt:lpstr>
      <vt:lpstr>'JNF-1'!Print_Area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2024-04-30T16:13:15Z</dcterms:created>
  <dcterms:modified xsi:type="dcterms:W3CDTF">2024-06-11T19:50:07Z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0x01010065F12E0835F6CA4BB8CC7B7BD71F6D44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Doc Type">
    <vt:lpwstr>Direct Testimony</vt:lpwstr>
  </property>
  <property fmtid="{D5CDD505-2E9C-101B-9397-08002B2CF9AE}" pid="11" name="xd_Signature">
    <vt:bool>false</vt:bool>
  </property>
  <property fmtid="{D5CDD505-2E9C-101B-9397-08002B2CF9AE}" pid="12" name="Witness">
    <vt:lpwstr>Floyd</vt:lpwstr>
  </property>
</Properties>
</file>