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E\"/>
    </mc:Choice>
  </mc:AlternateContent>
  <xr:revisionPtr revIDLastSave="0" documentId="13_ncr:1_{2DB5C04A-51CA-45FC-85C5-2AE18199FA41}" xr6:coauthVersionLast="47" xr6:coauthVersionMax="47" xr10:uidLastSave="{00000000-0000-0000-0000-000000000000}"/>
  <bookViews>
    <workbookView xWindow="-108" yWindow="-108" windowWidth="23256" windowHeight="12456" firstSheet="1" activeTab="1" xr2:uid="{BECB8436-1ED2-4416-A258-B57125AEF49D}"/>
  </bookViews>
  <sheets>
    <sheet name="Procedures &amp; Inputs" sheetId="6" r:id="rId1"/>
    <sheet name="E-6a (1)" sheetId="1" r:id="rId2"/>
    <sheet name="E-6a (2-4)_12CP &amp; 25" sheetId="2" r:id="rId3"/>
    <sheet name="E-6a (5-7)_12CP &amp; 1-13 AD" sheetId="3" r:id="rId4"/>
    <sheet name="E-6a (8-10)" sheetId="4" r:id="rId5"/>
    <sheet name="E-6a (11-13)" sheetId="5"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5" hidden="1">#REF!</definedName>
    <definedName name="_Fill" localSheetId="2" hidden="1">#REF!</definedName>
    <definedName name="_Fill" localSheetId="3" hidden="1">#REF!</definedName>
    <definedName name="_Fill" hidden="1">#REF!</definedName>
    <definedName name="_Key1" localSheetId="5" hidden="1">#REF!</definedName>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Parse_In" localSheetId="5" hidden="1">#REF!</definedName>
    <definedName name="_Parse_In" localSheetId="2" hidden="1">#REF!</definedName>
    <definedName name="_Parse_In" localSheetId="3" hidden="1">#REF!</definedName>
    <definedName name="_Parse_In" hidden="1">#REF!</definedName>
    <definedName name="_Parse_Out" localSheetId="5" hidden="1">#REF!</definedName>
    <definedName name="_Parse_Out" localSheetId="2" hidden="1">#REF!</definedName>
    <definedName name="_Parse_Out" localSheetId="3" hidden="1">#REF!</definedName>
    <definedName name="_Parse_Out" hidden="1">#REF!</definedName>
    <definedName name="_Regression_Int" localSheetId="2" hidden="1">1</definedName>
    <definedName name="_Regression_Int" localSheetId="3" hidden="1">1</definedName>
    <definedName name="_Regression_Int" hidden="1">1</definedName>
    <definedName name="_Sort" localSheetId="5" hidden="1">#REF!</definedName>
    <definedName name="_Sort" localSheetId="2" hidden="1">#REF!</definedName>
    <definedName name="_Sort" localSheetId="3" hidden="1">#REF!</definedName>
    <definedName name="_Sort" hidden="1">#REF!</definedName>
    <definedName name="AS2DocOpenMode" hidden="1">"AS2DocumentBrowse"</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paul" localSheetId="2" hidden="1">#REF!</definedName>
    <definedName name="paul" localSheetId="3" hidden="1">#REF!</definedName>
    <definedName name="paul" hidden="1">#REF!</definedName>
    <definedName name="pesc1" localSheetId="0" hidden="1">{#N/A,#N/A,FALSE,"Aging Summary";#N/A,#N/A,FALSE,"Ratio Analysis";#N/A,#N/A,FALSE,"Test 120 Day Accts";#N/A,#N/A,FALSE,"Tickmarks"}</definedName>
    <definedName name="pesc1"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 localSheetId="0" hidden="1">{#N/A,#N/A,FALSE,"CONT_MWH";#N/A,#N/A,FALSE,"CONT_MW";#N/A,#N/A,FALSE,"MIN_MWH";#N/A,#N/A,FALSE,"MIN_MW";#N/A,#N/A,FALSE,"BASECASE_MWH";#N/A,#N/A,FALSE,"BASECASE_MW"}</definedName>
    <definedName name="wrn.All_Sheets." hidden="1">{#N/A,#N/A,FALSE,"CONT_MWH";#N/A,#N/A,FALSE,"CONT_MW";#N/A,#N/A,FALSE,"MIN_MWH";#N/A,#N/A,FALSE,"MIN_MW";#N/A,#N/A,FALSE,"BASECASE_MWH";#N/A,#N/A,FALSE,"BASECASE_MW"}</definedName>
    <definedName name="wrn.GL._.154._.BALANCE." localSheetId="0" hidden="1">{#N/A,#N/A,FALSE,"BALANCE"}</definedName>
    <definedName name="wrn.GL._.154._.BALANCE." hidden="1">{#N/A,#N/A,FALSE,"BALANCE"}</definedName>
    <definedName name="wrn.GL154._.ISSUES." localSheetId="0" hidden="1">{#N/A,#N/A,FALSE,"ISSUES"}</definedName>
    <definedName name="wrn.GL154._.ISSUES." hidden="1">{#N/A,#N/A,FALSE,"ISSUES"}</definedName>
    <definedName name="wrn.GL154._.RECEIPTS." localSheetId="0" hidden="1">{#N/A,#N/A,FALSE,"RECEIPTS"}</definedName>
    <definedName name="wrn.GL154._.RECEIPTS." hidden="1">{#N/A,#N/A,FALSE,"RECEIPTS"}</definedName>
    <definedName name="wrn.GL154._.SALVAGE." localSheetId="0" hidden="1">{#N/A,#N/A,FALSE,"SALVAGE"}</definedName>
    <definedName name="wrn.GL154._.SALVAGE." hidden="1">{#N/A,#N/A,FALSE,"SALVAGE"}</definedName>
    <definedName name="wrn.GL154._.SYSTEM._.LEDGER._.REPORTS." localSheetId="0" hidden="1">{#N/A,#N/A,FALSE,"BALANCE";#N/A,#N/A,FALSE,"ISSUES";#N/A,#N/A,FALSE,"RECEIPTS";#N/A,#N/A,FALSE,"SALVAGE"}</definedName>
    <definedName name="wrn.GL154._.SYSTEM._.LEDGER._.REPORTS." hidden="1">{#N/A,#N/A,FALSE,"BALANCE";#N/A,#N/A,FALSE,"ISSUES";#N/A,#N/A,FALSE,"RECEIPTS";#N/A,#N/A,FALSE,"SALVAGE"}</definedName>
    <definedName name="XRefActiveRow" localSheetId="2" hidden="1">#REF!</definedName>
    <definedName name="XRefActiveRow" localSheetId="3" hidden="1">#REF!</definedName>
    <definedName name="XRefActiveRow" hidden="1">#REF!</definedName>
    <definedName name="XRefColumnsCount" hidden="1">3</definedName>
    <definedName name="XRefCopy1Row" localSheetId="2" hidden="1">#REF!</definedName>
    <definedName name="XRefCopy1Row" localSheetId="3" hidden="1">#REF!</definedName>
    <definedName name="XRefCopy1Row" localSheetId="0" hidden="1">#REF!</definedName>
    <definedName name="XRefCopy1Row" hidden="1">#REF!</definedName>
    <definedName name="XRefCopy2Row" localSheetId="2" hidden="1">#REF!</definedName>
    <definedName name="XRefCopy2Row" localSheetId="3" hidden="1">#REF!</definedName>
    <definedName name="XRefCopy2Row" hidden="1">#REF!</definedName>
    <definedName name="XRefCopy3Row" localSheetId="2" hidden="1">#REF!</definedName>
    <definedName name="XRefCopy3Row" localSheetId="3" hidden="1">#REF!</definedName>
    <definedName name="XRefCopy3Row" hidden="1">#REF!</definedName>
    <definedName name="XRefCopyRangeCount" hidden="1">3</definedName>
    <definedName name="XRefPaste1Row" localSheetId="2" hidden="1">#REF!</definedName>
    <definedName name="XRefPaste1Row" localSheetId="3" hidden="1">#REF!</definedName>
    <definedName name="XRefPaste1Row" localSheetId="0" hidden="1">#REF!</definedName>
    <definedName name="XRefPaste1Row" hidden="1">#REF!</definedName>
    <definedName name="XRefPaste2Row" localSheetId="2" hidden="1">#REF!</definedName>
    <definedName name="XRefPaste2Row" localSheetId="3" hidden="1">#REF!</definedName>
    <definedName name="XRefPaste2Row" hidden="1">#REF!</definedName>
    <definedName name="XRefPaste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51" i="3" l="1"/>
  <c r="BT51" i="3"/>
  <c r="BM51" i="3"/>
  <c r="BL51" i="3"/>
  <c r="BK51" i="3"/>
  <c r="BJ51" i="3"/>
  <c r="BI51" i="3"/>
  <c r="BH51" i="3"/>
  <c r="BC51" i="3"/>
  <c r="BU50" i="3"/>
  <c r="BT50" i="3"/>
  <c r="BM50" i="3"/>
  <c r="BL50" i="3"/>
  <c r="BK50" i="3"/>
  <c r="BJ50" i="3"/>
  <c r="BI50" i="3"/>
  <c r="BH50" i="3"/>
  <c r="BC50" i="3"/>
  <c r="AU51" i="3"/>
  <c r="AT51" i="3"/>
  <c r="AM51" i="3"/>
  <c r="AL51" i="3"/>
  <c r="AK51" i="3"/>
  <c r="AJ51" i="3"/>
  <c r="AI51" i="3"/>
  <c r="AH51" i="3"/>
  <c r="AC51" i="3"/>
  <c r="AU50" i="3"/>
  <c r="AT50" i="3"/>
  <c r="AM50" i="3"/>
  <c r="AL50" i="3"/>
  <c r="AK50" i="3"/>
  <c r="AJ50" i="3"/>
  <c r="AI50" i="3"/>
  <c r="AH50" i="3"/>
  <c r="AC50" i="3"/>
  <c r="U51" i="3"/>
  <c r="T51" i="3"/>
  <c r="U50" i="3"/>
  <c r="T50" i="3"/>
  <c r="I50" i="3"/>
  <c r="J50" i="3"/>
  <c r="K50" i="3"/>
  <c r="L50" i="3"/>
  <c r="M50" i="3"/>
  <c r="I51" i="3"/>
  <c r="J51" i="3"/>
  <c r="K51" i="3"/>
  <c r="L51" i="3"/>
  <c r="M51" i="3"/>
  <c r="H51" i="3"/>
  <c r="C51" i="3"/>
  <c r="H50" i="3"/>
  <c r="C50" i="3"/>
  <c r="BU51" i="2"/>
  <c r="BT51" i="2"/>
  <c r="BM51" i="2"/>
  <c r="BL51" i="2"/>
  <c r="BK51" i="2"/>
  <c r="BJ51" i="2"/>
  <c r="BI51" i="2"/>
  <c r="BH51" i="2"/>
  <c r="BC51" i="2"/>
  <c r="BU50" i="2"/>
  <c r="BT50" i="2"/>
  <c r="BM50" i="2"/>
  <c r="BL50" i="2"/>
  <c r="BK50" i="2"/>
  <c r="BJ50" i="2"/>
  <c r="BI50" i="2"/>
  <c r="BH50" i="2"/>
  <c r="BC50" i="2"/>
  <c r="AU51" i="2"/>
  <c r="AT51" i="2"/>
  <c r="AM51" i="2"/>
  <c r="AK51" i="2"/>
  <c r="AJ51" i="2"/>
  <c r="AI51" i="2"/>
  <c r="AH51" i="2"/>
  <c r="AC51" i="2"/>
  <c r="AU50" i="2"/>
  <c r="AT50" i="2"/>
  <c r="AM50" i="2"/>
  <c r="AK50" i="2"/>
  <c r="AJ50" i="2"/>
  <c r="AI50" i="2"/>
  <c r="AH50" i="2"/>
  <c r="AC50" i="2"/>
  <c r="U50" i="2"/>
  <c r="U51" i="2"/>
  <c r="T51" i="2"/>
  <c r="T50" i="2"/>
  <c r="I50" i="2"/>
  <c r="J50" i="2"/>
  <c r="K50" i="2"/>
  <c r="M50" i="2"/>
  <c r="I51" i="2"/>
  <c r="J51" i="2"/>
  <c r="K51" i="2"/>
  <c r="M51" i="2"/>
  <c r="C51" i="2"/>
  <c r="C50" i="2"/>
  <c r="H51" i="2"/>
  <c r="H50" i="2"/>
  <c r="O107" i="6"/>
  <c r="N107" i="6"/>
  <c r="M107" i="6"/>
  <c r="L107" i="6"/>
  <c r="K107" i="6"/>
  <c r="J107" i="6"/>
  <c r="I107" i="6"/>
  <c r="H107" i="6"/>
  <c r="G107" i="6"/>
  <c r="F107" i="6"/>
  <c r="Z107" i="6"/>
  <c r="Y107" i="6"/>
  <c r="X107" i="6"/>
  <c r="W107" i="6"/>
  <c r="V107" i="6"/>
  <c r="U107" i="6"/>
  <c r="T107" i="6"/>
  <c r="S107" i="6"/>
  <c r="R107" i="6"/>
  <c r="Q107" i="6"/>
  <c r="Z106" i="6"/>
  <c r="Y106" i="6"/>
  <c r="X106" i="6"/>
  <c r="W106" i="6"/>
  <c r="V106" i="6"/>
  <c r="U106" i="6"/>
  <c r="T106" i="6"/>
  <c r="S106" i="6"/>
  <c r="R106" i="6"/>
  <c r="Q106" i="6"/>
  <c r="O106" i="6"/>
  <c r="N106" i="6"/>
  <c r="AN27" i="3" s="1"/>
  <c r="M106" i="6"/>
  <c r="AM27" i="3" s="1"/>
  <c r="L106" i="6"/>
  <c r="K106" i="6"/>
  <c r="J106" i="6"/>
  <c r="I106" i="6"/>
  <c r="H106" i="6"/>
  <c r="G106" i="6"/>
  <c r="F106" i="6"/>
  <c r="Z105" i="6"/>
  <c r="Y105" i="6"/>
  <c r="X105" i="6"/>
  <c r="W105" i="6"/>
  <c r="V105" i="6"/>
  <c r="U105" i="6"/>
  <c r="T105" i="6"/>
  <c r="S105" i="6"/>
  <c r="R105" i="6"/>
  <c r="Q105" i="6"/>
  <c r="O105" i="6"/>
  <c r="N105" i="6"/>
  <c r="M105" i="6"/>
  <c r="L105" i="6"/>
  <c r="K105" i="6"/>
  <c r="J105" i="6"/>
  <c r="AK26" i="3" s="1"/>
  <c r="I105" i="6"/>
  <c r="H105" i="6"/>
  <c r="G105" i="6"/>
  <c r="AH26" i="3" s="1"/>
  <c r="F105" i="6"/>
  <c r="AG26" i="3" s="1"/>
  <c r="Z104" i="6"/>
  <c r="Y104" i="6"/>
  <c r="X104" i="6"/>
  <c r="W104" i="6"/>
  <c r="V104" i="6"/>
  <c r="U104" i="6"/>
  <c r="T104" i="6"/>
  <c r="S104" i="6"/>
  <c r="R104" i="6"/>
  <c r="Q104" i="6"/>
  <c r="O104" i="6"/>
  <c r="N104" i="6"/>
  <c r="M104" i="6"/>
  <c r="L104" i="6"/>
  <c r="K104" i="6"/>
  <c r="AT25" i="3" s="1"/>
  <c r="J104" i="6"/>
  <c r="I104" i="6"/>
  <c r="H104" i="6"/>
  <c r="AI25" i="3" s="1"/>
  <c r="G104" i="6"/>
  <c r="AH25" i="3" s="1"/>
  <c r="F104" i="6"/>
  <c r="AG25" i="3" s="1"/>
  <c r="Z103" i="6"/>
  <c r="Y103" i="6"/>
  <c r="X103" i="6"/>
  <c r="W103" i="6"/>
  <c r="V103" i="6"/>
  <c r="U103" i="6"/>
  <c r="T103" i="6"/>
  <c r="S103" i="6"/>
  <c r="R103" i="6"/>
  <c r="Q103" i="6"/>
  <c r="O103" i="6"/>
  <c r="N103" i="6"/>
  <c r="AN24" i="3" s="1"/>
  <c r="M103" i="6"/>
  <c r="AM24" i="3" s="1"/>
  <c r="L103" i="6"/>
  <c r="K103" i="6"/>
  <c r="J103" i="6"/>
  <c r="AK24" i="3" s="1"/>
  <c r="AK53" i="3" s="1"/>
  <c r="I103" i="6"/>
  <c r="H103" i="6"/>
  <c r="AI24" i="3" s="1"/>
  <c r="G103" i="6"/>
  <c r="AH24" i="3" s="1"/>
  <c r="AH53" i="3" s="1"/>
  <c r="F103" i="6"/>
  <c r="AG24" i="3" s="1"/>
  <c r="Z102" i="6"/>
  <c r="Y102" i="6"/>
  <c r="X102" i="6"/>
  <c r="W102" i="6"/>
  <c r="V102" i="6"/>
  <c r="U102" i="6"/>
  <c r="T102" i="6"/>
  <c r="S102" i="6"/>
  <c r="R102" i="6"/>
  <c r="Q102" i="6"/>
  <c r="O102" i="6"/>
  <c r="N102" i="6"/>
  <c r="AN23" i="3" s="1"/>
  <c r="M102" i="6"/>
  <c r="L102" i="6"/>
  <c r="K102" i="6"/>
  <c r="J102" i="6"/>
  <c r="AK23" i="3" s="1"/>
  <c r="AK52" i="3" s="1"/>
  <c r="I102" i="6"/>
  <c r="H102" i="6"/>
  <c r="AI23" i="3" s="1"/>
  <c r="G102" i="6"/>
  <c r="AH23" i="3" s="1"/>
  <c r="F102" i="6"/>
  <c r="AG23" i="3" s="1"/>
  <c r="Z101" i="6"/>
  <c r="Y101" i="6"/>
  <c r="X101" i="6"/>
  <c r="W101" i="6"/>
  <c r="V101" i="6"/>
  <c r="U101" i="6"/>
  <c r="T101" i="6"/>
  <c r="S101" i="6"/>
  <c r="R101" i="6"/>
  <c r="Q101" i="6"/>
  <c r="O101" i="6"/>
  <c r="N101" i="6"/>
  <c r="M101" i="6"/>
  <c r="L101" i="6"/>
  <c r="K101" i="6"/>
  <c r="J101" i="6"/>
  <c r="I101" i="6"/>
  <c r="H101" i="6"/>
  <c r="AI22" i="3" s="1"/>
  <c r="G101" i="6"/>
  <c r="AH22" i="3" s="1"/>
  <c r="F101" i="6"/>
  <c r="AG22" i="3" s="1"/>
  <c r="Z100" i="6"/>
  <c r="Y100" i="6"/>
  <c r="X100" i="6"/>
  <c r="W100" i="6"/>
  <c r="V100" i="6"/>
  <c r="U100" i="6"/>
  <c r="T100" i="6"/>
  <c r="S100" i="6"/>
  <c r="R100" i="6"/>
  <c r="Q100" i="6"/>
  <c r="O100" i="6"/>
  <c r="N100" i="6"/>
  <c r="M100" i="6"/>
  <c r="L100" i="6"/>
  <c r="K100" i="6"/>
  <c r="J100" i="6"/>
  <c r="I100" i="6"/>
  <c r="H100" i="6"/>
  <c r="AI21" i="3" s="1"/>
  <c r="AI65" i="3" s="1"/>
  <c r="G100" i="6"/>
  <c r="AH21" i="3" s="1"/>
  <c r="AH65" i="3" s="1"/>
  <c r="F100" i="6"/>
  <c r="AG21" i="3" s="1"/>
  <c r="Z99" i="6"/>
  <c r="Y99" i="6"/>
  <c r="X99" i="6"/>
  <c r="W99" i="6"/>
  <c r="V99" i="6"/>
  <c r="U99" i="6"/>
  <c r="T99" i="6"/>
  <c r="S99" i="6"/>
  <c r="R99" i="6"/>
  <c r="Q99" i="6"/>
  <c r="O99" i="6"/>
  <c r="N99" i="6"/>
  <c r="AN20" i="3" s="1"/>
  <c r="M99" i="6"/>
  <c r="AM20" i="3" s="1"/>
  <c r="L99" i="6"/>
  <c r="K99" i="6"/>
  <c r="J99" i="6"/>
  <c r="AK20" i="3" s="1"/>
  <c r="I99" i="6"/>
  <c r="H99" i="6"/>
  <c r="AI20" i="3" s="1"/>
  <c r="G99" i="6"/>
  <c r="AH20" i="3" s="1"/>
  <c r="F99" i="6"/>
  <c r="AG20" i="3" s="1"/>
  <c r="Z98" i="6"/>
  <c r="Y98" i="6"/>
  <c r="X98" i="6"/>
  <c r="W98" i="6"/>
  <c r="V98" i="6"/>
  <c r="U98" i="6"/>
  <c r="T98" i="6"/>
  <c r="S98" i="6"/>
  <c r="R98" i="6"/>
  <c r="Q98" i="6"/>
  <c r="O98" i="6"/>
  <c r="N98" i="6"/>
  <c r="AN19" i="3" s="1"/>
  <c r="M98" i="6"/>
  <c r="AM19" i="3" s="1"/>
  <c r="AM64" i="3" s="1"/>
  <c r="L98" i="6"/>
  <c r="K98" i="6"/>
  <c r="J98" i="6"/>
  <c r="AK19" i="3" s="1"/>
  <c r="I98" i="6"/>
  <c r="H98" i="6"/>
  <c r="G98" i="6"/>
  <c r="AH19" i="3" s="1"/>
  <c r="AH64" i="3" s="1"/>
  <c r="F98" i="6"/>
  <c r="AG19" i="3" s="1"/>
  <c r="Z97" i="6"/>
  <c r="Y97" i="6"/>
  <c r="X97" i="6"/>
  <c r="W97" i="6"/>
  <c r="V97" i="6"/>
  <c r="U97" i="6"/>
  <c r="T97" i="6"/>
  <c r="S97" i="6"/>
  <c r="R97" i="6"/>
  <c r="Q97" i="6"/>
  <c r="O97" i="6"/>
  <c r="N97" i="6"/>
  <c r="M97" i="6"/>
  <c r="AM18" i="3" s="1"/>
  <c r="L97" i="6"/>
  <c r="K97" i="6"/>
  <c r="J97" i="6"/>
  <c r="I97" i="6"/>
  <c r="H97" i="6"/>
  <c r="AI18" i="3" s="1"/>
  <c r="AI63" i="3" s="1"/>
  <c r="G97" i="6"/>
  <c r="AH18" i="3" s="1"/>
  <c r="AH63" i="3" s="1"/>
  <c r="F97" i="6"/>
  <c r="AG18" i="3" s="1"/>
  <c r="Z96" i="6"/>
  <c r="Y96" i="6"/>
  <c r="X96" i="6"/>
  <c r="W96" i="6"/>
  <c r="V96" i="6"/>
  <c r="U96" i="6"/>
  <c r="T96" i="6"/>
  <c r="S96" i="6"/>
  <c r="R96" i="6"/>
  <c r="Q96" i="6"/>
  <c r="O96" i="6"/>
  <c r="N96" i="6"/>
  <c r="AN17" i="3" s="1"/>
  <c r="M96" i="6"/>
  <c r="AM17" i="3" s="1"/>
  <c r="L96" i="6"/>
  <c r="K96" i="6"/>
  <c r="J96" i="6"/>
  <c r="I96" i="6"/>
  <c r="H96" i="6"/>
  <c r="G96" i="6"/>
  <c r="AH17" i="3" s="1"/>
  <c r="AH58" i="3" s="1"/>
  <c r="AH59" i="3" s="1"/>
  <c r="F96" i="6"/>
  <c r="AG17" i="3" s="1"/>
  <c r="Z95" i="6"/>
  <c r="Y95" i="6"/>
  <c r="X95" i="6"/>
  <c r="W95" i="6"/>
  <c r="V95" i="6"/>
  <c r="U95" i="6"/>
  <c r="T95" i="6"/>
  <c r="S95" i="6"/>
  <c r="R95" i="6"/>
  <c r="Q95" i="6"/>
  <c r="O95" i="6"/>
  <c r="N95" i="6"/>
  <c r="M95" i="6"/>
  <c r="L95" i="6"/>
  <c r="K95" i="6"/>
  <c r="J95" i="6"/>
  <c r="I95" i="6"/>
  <c r="H95" i="6"/>
  <c r="G95" i="6"/>
  <c r="F95" i="6"/>
  <c r="AG16" i="3" s="1"/>
  <c r="O92" i="6"/>
  <c r="N92" i="6"/>
  <c r="M92" i="6"/>
  <c r="L92" i="6"/>
  <c r="K92" i="6"/>
  <c r="J92" i="6"/>
  <c r="I92" i="6"/>
  <c r="H92" i="6"/>
  <c r="G92" i="6"/>
  <c r="F92" i="6"/>
  <c r="Z92" i="6"/>
  <c r="Y92" i="6"/>
  <c r="X92" i="6"/>
  <c r="W92" i="6"/>
  <c r="V92" i="6"/>
  <c r="U92" i="6"/>
  <c r="T92" i="6"/>
  <c r="S92" i="6"/>
  <c r="R92" i="6"/>
  <c r="Q92" i="6"/>
  <c r="Z91" i="6"/>
  <c r="Y91" i="6"/>
  <c r="X91" i="6"/>
  <c r="W91" i="6"/>
  <c r="V91" i="6"/>
  <c r="U91" i="6"/>
  <c r="T91" i="6"/>
  <c r="S91" i="6"/>
  <c r="R91" i="6"/>
  <c r="Q91" i="6"/>
  <c r="O91" i="6"/>
  <c r="N91" i="6"/>
  <c r="M91" i="6"/>
  <c r="L91" i="6"/>
  <c r="K91" i="6"/>
  <c r="J91" i="6"/>
  <c r="I91" i="6"/>
  <c r="H91" i="6"/>
  <c r="I27" i="3" s="1"/>
  <c r="G91" i="6"/>
  <c r="H27" i="3" s="1"/>
  <c r="F91" i="6"/>
  <c r="G27" i="3" s="1"/>
  <c r="Z90" i="6"/>
  <c r="Y90" i="6"/>
  <c r="X90" i="6"/>
  <c r="W90" i="6"/>
  <c r="V90" i="6"/>
  <c r="U90" i="6"/>
  <c r="T90" i="6"/>
  <c r="S90" i="6"/>
  <c r="R90" i="6"/>
  <c r="Q90" i="6"/>
  <c r="O90" i="6"/>
  <c r="N90" i="6"/>
  <c r="M90" i="6"/>
  <c r="L90" i="6"/>
  <c r="K90" i="6"/>
  <c r="J90" i="6"/>
  <c r="K26" i="3" s="1"/>
  <c r="I90" i="6"/>
  <c r="H90" i="6"/>
  <c r="I26" i="3" s="1"/>
  <c r="G90" i="6"/>
  <c r="H26" i="3" s="1"/>
  <c r="F90" i="6"/>
  <c r="G26" i="3" s="1"/>
  <c r="Z89" i="6"/>
  <c r="Y89" i="6"/>
  <c r="X89" i="6"/>
  <c r="W89" i="6"/>
  <c r="V89" i="6"/>
  <c r="U89" i="6"/>
  <c r="T89" i="6"/>
  <c r="S89" i="6"/>
  <c r="R89" i="6"/>
  <c r="Q89" i="6"/>
  <c r="O89" i="6"/>
  <c r="N89" i="6"/>
  <c r="M89" i="6"/>
  <c r="L89" i="6"/>
  <c r="K89" i="6"/>
  <c r="J89" i="6"/>
  <c r="I89" i="6"/>
  <c r="H89" i="6"/>
  <c r="I25" i="3" s="1"/>
  <c r="G89" i="6"/>
  <c r="H25" i="3" s="1"/>
  <c r="F89" i="6"/>
  <c r="G25" i="3" s="1"/>
  <c r="Z88" i="6"/>
  <c r="Y88" i="6"/>
  <c r="X88" i="6"/>
  <c r="W88" i="6"/>
  <c r="V88" i="6"/>
  <c r="U88" i="6"/>
  <c r="T88" i="6"/>
  <c r="S88" i="6"/>
  <c r="R88" i="6"/>
  <c r="Q88" i="6"/>
  <c r="O88" i="6"/>
  <c r="N88" i="6"/>
  <c r="M88" i="6"/>
  <c r="L88" i="6"/>
  <c r="K88" i="6"/>
  <c r="J88" i="6"/>
  <c r="K24" i="3" s="1"/>
  <c r="I88" i="6"/>
  <c r="H88" i="6"/>
  <c r="G88" i="6"/>
  <c r="H24" i="3" s="1"/>
  <c r="F88" i="6"/>
  <c r="G24" i="3" s="1"/>
  <c r="Z87" i="6"/>
  <c r="Y87" i="6"/>
  <c r="X87" i="6"/>
  <c r="W87" i="6"/>
  <c r="V87" i="6"/>
  <c r="U87" i="6"/>
  <c r="T87" i="6"/>
  <c r="S87" i="6"/>
  <c r="R87" i="6"/>
  <c r="Q87" i="6"/>
  <c r="O87" i="6"/>
  <c r="N87" i="6"/>
  <c r="M87" i="6"/>
  <c r="L87" i="6"/>
  <c r="K87" i="6"/>
  <c r="J87" i="6"/>
  <c r="K23" i="3" s="1"/>
  <c r="I87" i="6"/>
  <c r="H87" i="6"/>
  <c r="I23" i="3" s="1"/>
  <c r="I52" i="3" s="1"/>
  <c r="G87" i="6"/>
  <c r="H23" i="3" s="1"/>
  <c r="F87" i="6"/>
  <c r="G23" i="3" s="1"/>
  <c r="Z86" i="6"/>
  <c r="Y86" i="6"/>
  <c r="X86" i="6"/>
  <c r="W86" i="6"/>
  <c r="V86" i="6"/>
  <c r="U86" i="6"/>
  <c r="T86" i="6"/>
  <c r="S86" i="6"/>
  <c r="R86" i="6"/>
  <c r="Q86" i="6"/>
  <c r="O86" i="6"/>
  <c r="N86" i="6"/>
  <c r="M86" i="6"/>
  <c r="L86" i="6"/>
  <c r="K86" i="6"/>
  <c r="J86" i="6"/>
  <c r="K22" i="3" s="1"/>
  <c r="I86" i="6"/>
  <c r="H86" i="6"/>
  <c r="I22" i="3" s="1"/>
  <c r="G86" i="6"/>
  <c r="H22" i="3" s="1"/>
  <c r="F86" i="6"/>
  <c r="G22" i="3" s="1"/>
  <c r="Z85" i="6"/>
  <c r="Y85" i="6"/>
  <c r="X85" i="6"/>
  <c r="W85" i="6"/>
  <c r="V85" i="6"/>
  <c r="U85" i="6"/>
  <c r="T85" i="6"/>
  <c r="S85" i="6"/>
  <c r="R85" i="6"/>
  <c r="Q85" i="6"/>
  <c r="O85" i="6"/>
  <c r="N85" i="6"/>
  <c r="M85" i="6"/>
  <c r="L85" i="6"/>
  <c r="K85" i="6"/>
  <c r="J85" i="6"/>
  <c r="K21" i="3" s="1"/>
  <c r="I85" i="6"/>
  <c r="H85" i="6"/>
  <c r="I21" i="3" s="1"/>
  <c r="I65" i="3" s="1"/>
  <c r="G85" i="6"/>
  <c r="H21" i="3" s="1"/>
  <c r="H65" i="3" s="1"/>
  <c r="F85" i="6"/>
  <c r="G21" i="3" s="1"/>
  <c r="Z84" i="6"/>
  <c r="Y84" i="6"/>
  <c r="X84" i="6"/>
  <c r="W84" i="6"/>
  <c r="V84" i="6"/>
  <c r="U84" i="6"/>
  <c r="T84" i="6"/>
  <c r="S84" i="6"/>
  <c r="R84" i="6"/>
  <c r="Q84" i="6"/>
  <c r="O84" i="6"/>
  <c r="N84" i="6"/>
  <c r="M84" i="6"/>
  <c r="L84" i="6"/>
  <c r="K84" i="6"/>
  <c r="J84" i="6"/>
  <c r="K20" i="3" s="1"/>
  <c r="I84" i="6"/>
  <c r="H84" i="6"/>
  <c r="I20" i="3" s="1"/>
  <c r="G84" i="6"/>
  <c r="H20" i="3" s="1"/>
  <c r="F84" i="6"/>
  <c r="G20" i="3" s="1"/>
  <c r="Z83" i="6"/>
  <c r="Y83" i="6"/>
  <c r="X83" i="6"/>
  <c r="W83" i="6"/>
  <c r="V83" i="6"/>
  <c r="U83" i="6"/>
  <c r="T83" i="6"/>
  <c r="S83" i="6"/>
  <c r="R83" i="6"/>
  <c r="Q83" i="6"/>
  <c r="O83" i="6"/>
  <c r="N83" i="6"/>
  <c r="M83" i="6"/>
  <c r="L83" i="6"/>
  <c r="K83" i="6"/>
  <c r="J83" i="6"/>
  <c r="I83" i="6"/>
  <c r="H83" i="6"/>
  <c r="I19" i="3" s="1"/>
  <c r="I64" i="3" s="1"/>
  <c r="G83" i="6"/>
  <c r="H19" i="3" s="1"/>
  <c r="H64" i="3" s="1"/>
  <c r="F83" i="6"/>
  <c r="G19" i="3" s="1"/>
  <c r="Z82" i="6"/>
  <c r="Y82" i="6"/>
  <c r="X82" i="6"/>
  <c r="W82" i="6"/>
  <c r="V82" i="6"/>
  <c r="U82" i="6"/>
  <c r="T82" i="6"/>
  <c r="S82" i="6"/>
  <c r="R82" i="6"/>
  <c r="Q82" i="6"/>
  <c r="O82" i="6"/>
  <c r="N82" i="6"/>
  <c r="M82" i="6"/>
  <c r="L82" i="6"/>
  <c r="K82" i="6"/>
  <c r="J82" i="6"/>
  <c r="K18" i="3" s="1"/>
  <c r="K63" i="3" s="1"/>
  <c r="I82" i="6"/>
  <c r="H82" i="6"/>
  <c r="I18" i="3" s="1"/>
  <c r="I63" i="3" s="1"/>
  <c r="G82" i="6"/>
  <c r="H18" i="3" s="1"/>
  <c r="H63" i="3" s="1"/>
  <c r="F82" i="6"/>
  <c r="G18" i="3" s="1"/>
  <c r="Z81" i="6"/>
  <c r="Y81" i="6"/>
  <c r="X81" i="6"/>
  <c r="W81" i="6"/>
  <c r="V81" i="6"/>
  <c r="U81" i="6"/>
  <c r="T81" i="6"/>
  <c r="S81" i="6"/>
  <c r="R81" i="6"/>
  <c r="Q81" i="6"/>
  <c r="O81" i="6"/>
  <c r="N81" i="6"/>
  <c r="M81" i="6"/>
  <c r="L81" i="6"/>
  <c r="K81" i="6"/>
  <c r="J81" i="6"/>
  <c r="K17" i="3" s="1"/>
  <c r="K58" i="3" s="1"/>
  <c r="K59" i="3" s="1"/>
  <c r="I81" i="6"/>
  <c r="H81" i="6"/>
  <c r="I17" i="3" s="1"/>
  <c r="I58" i="3" s="1"/>
  <c r="I59" i="3" s="1"/>
  <c r="G81" i="6"/>
  <c r="H17" i="3" s="1"/>
  <c r="H58" i="3" s="1"/>
  <c r="H59" i="3" s="1"/>
  <c r="F81" i="6"/>
  <c r="G17" i="3" s="1"/>
  <c r="Z80" i="6"/>
  <c r="Y80" i="6"/>
  <c r="X80" i="6"/>
  <c r="W80" i="6"/>
  <c r="V80" i="6"/>
  <c r="U80" i="6"/>
  <c r="T80" i="6"/>
  <c r="S80" i="6"/>
  <c r="R80" i="6"/>
  <c r="Q80" i="6"/>
  <c r="O80" i="6"/>
  <c r="N80" i="6"/>
  <c r="M80" i="6"/>
  <c r="L80" i="6"/>
  <c r="K80" i="6"/>
  <c r="J80" i="6"/>
  <c r="I80" i="6"/>
  <c r="H80" i="6"/>
  <c r="G80" i="6"/>
  <c r="F80" i="6"/>
  <c r="G16" i="3" s="1"/>
  <c r="G14" i="3" s="1"/>
  <c r="O57" i="6"/>
  <c r="N57" i="6"/>
  <c r="M57" i="6"/>
  <c r="L57" i="6"/>
  <c r="K57" i="6"/>
  <c r="J57" i="6"/>
  <c r="I57" i="6"/>
  <c r="H57" i="6"/>
  <c r="G57" i="6"/>
  <c r="F57" i="6"/>
  <c r="Z57" i="6"/>
  <c r="Y57" i="6"/>
  <c r="X57" i="6"/>
  <c r="W57" i="6"/>
  <c r="V57" i="6"/>
  <c r="U57" i="6"/>
  <c r="T57" i="6"/>
  <c r="S57" i="6"/>
  <c r="R57" i="6"/>
  <c r="Q57" i="6"/>
  <c r="Z56" i="6"/>
  <c r="Y56" i="6"/>
  <c r="X56" i="6"/>
  <c r="W56" i="6"/>
  <c r="V56" i="6"/>
  <c r="U56" i="6"/>
  <c r="T56" i="6"/>
  <c r="S56" i="6"/>
  <c r="R56" i="6"/>
  <c r="Q56" i="6"/>
  <c r="O56" i="6"/>
  <c r="N56" i="6"/>
  <c r="M56" i="6"/>
  <c r="L56" i="6"/>
  <c r="K56" i="6"/>
  <c r="J56" i="6"/>
  <c r="I56" i="6"/>
  <c r="H56" i="6"/>
  <c r="AI27" i="2" s="1"/>
  <c r="G56" i="6"/>
  <c r="AH27" i="2" s="1"/>
  <c r="F56" i="6"/>
  <c r="AG27" i="2" s="1"/>
  <c r="Z55" i="6"/>
  <c r="Y55" i="6"/>
  <c r="X55" i="6"/>
  <c r="W55" i="6"/>
  <c r="V55" i="6"/>
  <c r="U55" i="6"/>
  <c r="T55" i="6"/>
  <c r="S55" i="6"/>
  <c r="R55" i="6"/>
  <c r="Q55" i="6"/>
  <c r="O55" i="6"/>
  <c r="N55" i="6"/>
  <c r="M55" i="6"/>
  <c r="L55" i="6"/>
  <c r="K55" i="6"/>
  <c r="J55" i="6"/>
  <c r="I55" i="6"/>
  <c r="H55" i="6"/>
  <c r="G55" i="6"/>
  <c r="AH26" i="2" s="1"/>
  <c r="F55" i="6"/>
  <c r="AG26" i="2" s="1"/>
  <c r="Z54" i="6"/>
  <c r="Y54" i="6"/>
  <c r="X54" i="6"/>
  <c r="W54" i="6"/>
  <c r="V54" i="6"/>
  <c r="U54" i="6"/>
  <c r="T54" i="6"/>
  <c r="S54" i="6"/>
  <c r="R54" i="6"/>
  <c r="Q54" i="6"/>
  <c r="O54" i="6"/>
  <c r="N54" i="6"/>
  <c r="M54" i="6"/>
  <c r="L54" i="6"/>
  <c r="K54" i="6"/>
  <c r="AT25" i="2" s="1"/>
  <c r="J54" i="6"/>
  <c r="I54" i="6"/>
  <c r="H54" i="6"/>
  <c r="AI25" i="2" s="1"/>
  <c r="G54" i="6"/>
  <c r="AH25" i="2" s="1"/>
  <c r="F54" i="6"/>
  <c r="AG25" i="2" s="1"/>
  <c r="Z53" i="6"/>
  <c r="Y53" i="6"/>
  <c r="X53" i="6"/>
  <c r="W53" i="6"/>
  <c r="V53" i="6"/>
  <c r="U53" i="6"/>
  <c r="T53" i="6"/>
  <c r="S53" i="6"/>
  <c r="R53" i="6"/>
  <c r="Q53" i="6"/>
  <c r="O53" i="6"/>
  <c r="N53" i="6"/>
  <c r="M53" i="6"/>
  <c r="L53" i="6"/>
  <c r="K53" i="6"/>
  <c r="J53" i="6"/>
  <c r="I53" i="6"/>
  <c r="H53" i="6"/>
  <c r="G53" i="6"/>
  <c r="F53" i="6"/>
  <c r="AG24" i="2" s="1"/>
  <c r="Z52" i="6"/>
  <c r="Y52" i="6"/>
  <c r="X52" i="6"/>
  <c r="W52" i="6"/>
  <c r="V52" i="6"/>
  <c r="U52" i="6"/>
  <c r="T52" i="6"/>
  <c r="S52" i="6"/>
  <c r="R52" i="6"/>
  <c r="Q52" i="6"/>
  <c r="O52" i="6"/>
  <c r="N52" i="6"/>
  <c r="M52" i="6"/>
  <c r="L52" i="6"/>
  <c r="K52" i="6"/>
  <c r="J52" i="6"/>
  <c r="I52" i="6"/>
  <c r="H52" i="6"/>
  <c r="AI23" i="2" s="1"/>
  <c r="G52" i="6"/>
  <c r="AH23" i="2" s="1"/>
  <c r="F52" i="6"/>
  <c r="AG23" i="2" s="1"/>
  <c r="Z51" i="6"/>
  <c r="Y51" i="6"/>
  <c r="X51" i="6"/>
  <c r="W51" i="6"/>
  <c r="V51" i="6"/>
  <c r="U51" i="6"/>
  <c r="T51" i="6"/>
  <c r="S51" i="6"/>
  <c r="R51" i="6"/>
  <c r="Q51" i="6"/>
  <c r="O51" i="6"/>
  <c r="N51" i="6"/>
  <c r="M51" i="6"/>
  <c r="L51" i="6"/>
  <c r="K51" i="6"/>
  <c r="AT22" i="2" s="1"/>
  <c r="J51" i="6"/>
  <c r="I51" i="6"/>
  <c r="H51" i="6"/>
  <c r="AI22" i="2" s="1"/>
  <c r="G51" i="6"/>
  <c r="AH22" i="2" s="1"/>
  <c r="F51" i="6"/>
  <c r="AG22" i="2" s="1"/>
  <c r="Z50" i="6"/>
  <c r="Y50" i="6"/>
  <c r="X50" i="6"/>
  <c r="W50" i="6"/>
  <c r="V50" i="6"/>
  <c r="U50" i="6"/>
  <c r="T50" i="6"/>
  <c r="S50" i="6"/>
  <c r="R50" i="6"/>
  <c r="Q50" i="6"/>
  <c r="O50" i="6"/>
  <c r="N50" i="6"/>
  <c r="M50" i="6"/>
  <c r="L50" i="6"/>
  <c r="K50" i="6"/>
  <c r="AT21" i="2" s="1"/>
  <c r="J50" i="6"/>
  <c r="I50" i="6"/>
  <c r="H50" i="6"/>
  <c r="AI21" i="2" s="1"/>
  <c r="G50" i="6"/>
  <c r="AH21" i="2" s="1"/>
  <c r="F50" i="6"/>
  <c r="AG21" i="2" s="1"/>
  <c r="Z49" i="6"/>
  <c r="Y49" i="6"/>
  <c r="X49" i="6"/>
  <c r="W49" i="6"/>
  <c r="V49" i="6"/>
  <c r="U49" i="6"/>
  <c r="T49" i="6"/>
  <c r="S49" i="6"/>
  <c r="R49" i="6"/>
  <c r="Q49" i="6"/>
  <c r="O49" i="6"/>
  <c r="N49" i="6"/>
  <c r="M49" i="6"/>
  <c r="L49" i="6"/>
  <c r="K49" i="6"/>
  <c r="AT20" i="2" s="1"/>
  <c r="J49" i="6"/>
  <c r="I49" i="6"/>
  <c r="H49" i="6"/>
  <c r="AI20" i="2" s="1"/>
  <c r="G49" i="6"/>
  <c r="AH20" i="2" s="1"/>
  <c r="F49" i="6"/>
  <c r="AG20" i="2" s="1"/>
  <c r="Z48" i="6"/>
  <c r="Y48" i="6"/>
  <c r="X48" i="6"/>
  <c r="W48" i="6"/>
  <c r="V48" i="6"/>
  <c r="U48" i="6"/>
  <c r="T48" i="6"/>
  <c r="S48" i="6"/>
  <c r="R48" i="6"/>
  <c r="Q48" i="6"/>
  <c r="O48" i="6"/>
  <c r="N48" i="6"/>
  <c r="M48" i="6"/>
  <c r="L48" i="6"/>
  <c r="K48" i="6"/>
  <c r="AT19" i="2" s="1"/>
  <c r="J48" i="6"/>
  <c r="I48" i="6"/>
  <c r="H48" i="6"/>
  <c r="AI19" i="2" s="1"/>
  <c r="G48" i="6"/>
  <c r="AH19" i="2" s="1"/>
  <c r="F48" i="6"/>
  <c r="AG19" i="2" s="1"/>
  <c r="Z47" i="6"/>
  <c r="Y47" i="6"/>
  <c r="X47" i="6"/>
  <c r="W47" i="6"/>
  <c r="V47" i="6"/>
  <c r="U47" i="6"/>
  <c r="T47" i="6"/>
  <c r="S47" i="6"/>
  <c r="R47" i="6"/>
  <c r="Q47" i="6"/>
  <c r="O47" i="6"/>
  <c r="N47" i="6"/>
  <c r="M47" i="6"/>
  <c r="L47" i="6"/>
  <c r="K47" i="6"/>
  <c r="J47" i="6"/>
  <c r="I47" i="6"/>
  <c r="H47" i="6"/>
  <c r="AI18" i="2" s="1"/>
  <c r="G47" i="6"/>
  <c r="AH18" i="2" s="1"/>
  <c r="F47" i="6"/>
  <c r="AG18" i="2" s="1"/>
  <c r="Z46" i="6"/>
  <c r="Y46" i="6"/>
  <c r="X46" i="6"/>
  <c r="W46" i="6"/>
  <c r="V46" i="6"/>
  <c r="U46" i="6"/>
  <c r="T46" i="6"/>
  <c r="S46" i="6"/>
  <c r="R46" i="6"/>
  <c r="Q46" i="6"/>
  <c r="O46" i="6"/>
  <c r="N46" i="6"/>
  <c r="M46" i="6"/>
  <c r="L46" i="6"/>
  <c r="K46" i="6"/>
  <c r="AT17" i="2" s="1"/>
  <c r="J46" i="6"/>
  <c r="I46" i="6"/>
  <c r="H46" i="6"/>
  <c r="AI17" i="2" s="1"/>
  <c r="G46" i="6"/>
  <c r="AH17" i="2" s="1"/>
  <c r="F46" i="6"/>
  <c r="AG17" i="2" s="1"/>
  <c r="Z45" i="6"/>
  <c r="Y45" i="6"/>
  <c r="X45" i="6"/>
  <c r="W45" i="6"/>
  <c r="V45" i="6"/>
  <c r="U45" i="6"/>
  <c r="T45" i="6"/>
  <c r="S45" i="6"/>
  <c r="R45" i="6"/>
  <c r="Q45" i="6"/>
  <c r="O45" i="6"/>
  <c r="N45" i="6"/>
  <c r="M45" i="6"/>
  <c r="L45" i="6"/>
  <c r="K45" i="6"/>
  <c r="J45" i="6"/>
  <c r="I45" i="6"/>
  <c r="H45" i="6"/>
  <c r="G45" i="6"/>
  <c r="F45" i="6"/>
  <c r="AG16" i="2" s="1"/>
  <c r="AG14" i="2" s="1"/>
  <c r="O42" i="6"/>
  <c r="N42" i="6"/>
  <c r="M42" i="6"/>
  <c r="L42" i="6"/>
  <c r="K42" i="6"/>
  <c r="J42" i="6"/>
  <c r="I42" i="6"/>
  <c r="H42" i="6"/>
  <c r="G42" i="6"/>
  <c r="F42" i="6"/>
  <c r="Z42" i="6"/>
  <c r="Y42" i="6"/>
  <c r="X42" i="6"/>
  <c r="W42" i="6"/>
  <c r="V42" i="6"/>
  <c r="U42" i="6"/>
  <c r="T42" i="6"/>
  <c r="S42" i="6"/>
  <c r="R42" i="6"/>
  <c r="Q42" i="6"/>
  <c r="Z41" i="6"/>
  <c r="Y41" i="6"/>
  <c r="X41" i="6"/>
  <c r="W41" i="6"/>
  <c r="V41" i="6"/>
  <c r="U41" i="6"/>
  <c r="T41" i="6"/>
  <c r="S41" i="6"/>
  <c r="R41" i="6"/>
  <c r="Q41" i="6"/>
  <c r="O41" i="6"/>
  <c r="N41" i="6"/>
  <c r="M41" i="6"/>
  <c r="L41" i="6"/>
  <c r="K41" i="6"/>
  <c r="T27" i="2" s="1"/>
  <c r="J41" i="6"/>
  <c r="K27" i="2" s="1"/>
  <c r="I41" i="6"/>
  <c r="H41" i="6"/>
  <c r="I27" i="2" s="1"/>
  <c r="G41" i="6"/>
  <c r="H27" i="2" s="1"/>
  <c r="F41" i="6"/>
  <c r="G27" i="2" s="1"/>
  <c r="Z40" i="6"/>
  <c r="Y40" i="6"/>
  <c r="X40" i="6"/>
  <c r="W40" i="6"/>
  <c r="V40" i="6"/>
  <c r="U40" i="6"/>
  <c r="T40" i="6"/>
  <c r="S40" i="6"/>
  <c r="R40" i="6"/>
  <c r="Q40" i="6"/>
  <c r="O40" i="6"/>
  <c r="N40" i="6"/>
  <c r="M40" i="6"/>
  <c r="L40" i="6"/>
  <c r="U26" i="2" s="1"/>
  <c r="K40" i="6"/>
  <c r="T26" i="2" s="1"/>
  <c r="J40" i="6"/>
  <c r="K26" i="2" s="1"/>
  <c r="I40" i="6"/>
  <c r="H40" i="6"/>
  <c r="I26" i="2" s="1"/>
  <c r="G40" i="6"/>
  <c r="H26" i="2" s="1"/>
  <c r="F40" i="6"/>
  <c r="G26" i="2" s="1"/>
  <c r="Z39" i="6"/>
  <c r="Y39" i="6"/>
  <c r="X39" i="6"/>
  <c r="W39" i="6"/>
  <c r="V39" i="6"/>
  <c r="U39" i="6"/>
  <c r="T39" i="6"/>
  <c r="S39" i="6"/>
  <c r="R39" i="6"/>
  <c r="Q39" i="6"/>
  <c r="O39" i="6"/>
  <c r="N39" i="6"/>
  <c r="M39" i="6"/>
  <c r="L39" i="6"/>
  <c r="K39" i="6"/>
  <c r="J39" i="6"/>
  <c r="I39" i="6"/>
  <c r="H39" i="6"/>
  <c r="I25" i="2" s="1"/>
  <c r="G39" i="6"/>
  <c r="H25" i="2" s="1"/>
  <c r="F39" i="6"/>
  <c r="G25" i="2" s="1"/>
  <c r="Z38" i="6"/>
  <c r="Y38" i="6"/>
  <c r="X38" i="6"/>
  <c r="W38" i="6"/>
  <c r="V38" i="6"/>
  <c r="U38" i="6"/>
  <c r="T38" i="6"/>
  <c r="S38" i="6"/>
  <c r="R38" i="6"/>
  <c r="Q38" i="6"/>
  <c r="O38" i="6"/>
  <c r="N38" i="6"/>
  <c r="M38" i="6"/>
  <c r="L38" i="6"/>
  <c r="U24" i="2" s="1"/>
  <c r="K38" i="6"/>
  <c r="T24" i="2" s="1"/>
  <c r="J38" i="6"/>
  <c r="K24" i="2" s="1"/>
  <c r="I38" i="6"/>
  <c r="H38" i="6"/>
  <c r="I24" i="2" s="1"/>
  <c r="G38" i="6"/>
  <c r="H24" i="2" s="1"/>
  <c r="F38" i="6"/>
  <c r="G24" i="2" s="1"/>
  <c r="Z37" i="6"/>
  <c r="Y37" i="6"/>
  <c r="X37" i="6"/>
  <c r="W37" i="6"/>
  <c r="V37" i="6"/>
  <c r="U37" i="6"/>
  <c r="T37" i="6"/>
  <c r="S37" i="6"/>
  <c r="R37" i="6"/>
  <c r="Q37" i="6"/>
  <c r="O37" i="6"/>
  <c r="N37" i="6"/>
  <c r="M37" i="6"/>
  <c r="L37" i="6"/>
  <c r="K37" i="6"/>
  <c r="J37" i="6"/>
  <c r="K23" i="2" s="1"/>
  <c r="I37" i="6"/>
  <c r="H37" i="6"/>
  <c r="I23" i="2" s="1"/>
  <c r="G37" i="6"/>
  <c r="H23" i="2" s="1"/>
  <c r="F37" i="6"/>
  <c r="G23" i="2" s="1"/>
  <c r="Z36" i="6"/>
  <c r="Y36" i="6"/>
  <c r="X36" i="6"/>
  <c r="W36" i="6"/>
  <c r="V36" i="6"/>
  <c r="U36" i="6"/>
  <c r="T36" i="6"/>
  <c r="S36" i="6"/>
  <c r="R36" i="6"/>
  <c r="Q36" i="6"/>
  <c r="O36" i="6"/>
  <c r="N36" i="6"/>
  <c r="M36" i="6"/>
  <c r="L36" i="6"/>
  <c r="U22" i="2" s="1"/>
  <c r="K36" i="6"/>
  <c r="T22" i="2" s="1"/>
  <c r="J36" i="6"/>
  <c r="K22" i="2" s="1"/>
  <c r="I36" i="6"/>
  <c r="H36" i="6"/>
  <c r="I22" i="2" s="1"/>
  <c r="G36" i="6"/>
  <c r="H22" i="2" s="1"/>
  <c r="F36" i="6"/>
  <c r="G22" i="2" s="1"/>
  <c r="Z35" i="6"/>
  <c r="Y35" i="6"/>
  <c r="X35" i="6"/>
  <c r="W35" i="6"/>
  <c r="V35" i="6"/>
  <c r="U35" i="6"/>
  <c r="T35" i="6"/>
  <c r="S35" i="6"/>
  <c r="R35" i="6"/>
  <c r="Q35" i="6"/>
  <c r="O35" i="6"/>
  <c r="N35" i="6"/>
  <c r="M35" i="6"/>
  <c r="L35" i="6"/>
  <c r="K35" i="6"/>
  <c r="T21" i="2" s="1"/>
  <c r="J35" i="6"/>
  <c r="K21" i="2" s="1"/>
  <c r="I35" i="6"/>
  <c r="H35" i="6"/>
  <c r="I21" i="2" s="1"/>
  <c r="G35" i="6"/>
  <c r="H21" i="2" s="1"/>
  <c r="F35" i="6"/>
  <c r="G21" i="2" s="1"/>
  <c r="Z34" i="6"/>
  <c r="Y34" i="6"/>
  <c r="X34" i="6"/>
  <c r="W34" i="6"/>
  <c r="V34" i="6"/>
  <c r="U34" i="6"/>
  <c r="T34" i="6"/>
  <c r="S34" i="6"/>
  <c r="R34" i="6"/>
  <c r="Q34" i="6"/>
  <c r="O34" i="6"/>
  <c r="N34" i="6"/>
  <c r="M34" i="6"/>
  <c r="L34" i="6"/>
  <c r="U20" i="2" s="1"/>
  <c r="K34" i="6"/>
  <c r="T20" i="2" s="1"/>
  <c r="J34" i="6"/>
  <c r="K20" i="2" s="1"/>
  <c r="I34" i="6"/>
  <c r="H34" i="6"/>
  <c r="I20" i="2" s="1"/>
  <c r="G34" i="6"/>
  <c r="H20" i="2" s="1"/>
  <c r="F34" i="6"/>
  <c r="G20" i="2" s="1"/>
  <c r="Z33" i="6"/>
  <c r="Y33" i="6"/>
  <c r="X33" i="6"/>
  <c r="W33" i="6"/>
  <c r="V33" i="6"/>
  <c r="U33" i="6"/>
  <c r="T33" i="6"/>
  <c r="S33" i="6"/>
  <c r="R33" i="6"/>
  <c r="Q33" i="6"/>
  <c r="O33" i="6"/>
  <c r="N33" i="6"/>
  <c r="M33" i="6"/>
  <c r="L33" i="6"/>
  <c r="K33" i="6"/>
  <c r="J33" i="6"/>
  <c r="I33" i="6"/>
  <c r="H33" i="6"/>
  <c r="I19" i="2" s="1"/>
  <c r="G33" i="6"/>
  <c r="H19" i="2" s="1"/>
  <c r="F33" i="6"/>
  <c r="G19" i="2" s="1"/>
  <c r="Z32" i="6"/>
  <c r="Y32" i="6"/>
  <c r="X32" i="6"/>
  <c r="W32" i="6"/>
  <c r="V32" i="6"/>
  <c r="U32" i="6"/>
  <c r="T32" i="6"/>
  <c r="S32" i="6"/>
  <c r="R32" i="6"/>
  <c r="Q32" i="6"/>
  <c r="O32" i="6"/>
  <c r="N32" i="6"/>
  <c r="M32" i="6"/>
  <c r="L32" i="6"/>
  <c r="K32" i="6"/>
  <c r="T18" i="2" s="1"/>
  <c r="J32" i="6"/>
  <c r="K18" i="2" s="1"/>
  <c r="I32" i="6"/>
  <c r="H32" i="6"/>
  <c r="I18" i="2" s="1"/>
  <c r="G32" i="6"/>
  <c r="H18" i="2" s="1"/>
  <c r="F32" i="6"/>
  <c r="G18" i="2" s="1"/>
  <c r="Z31" i="6"/>
  <c r="Y31" i="6"/>
  <c r="X31" i="6"/>
  <c r="W31" i="6"/>
  <c r="V31" i="6"/>
  <c r="U31" i="6"/>
  <c r="T31" i="6"/>
  <c r="S31" i="6"/>
  <c r="R31" i="6"/>
  <c r="Q31" i="6"/>
  <c r="O31" i="6"/>
  <c r="N31" i="6"/>
  <c r="M31" i="6"/>
  <c r="L31" i="6"/>
  <c r="K31" i="6"/>
  <c r="J31" i="6"/>
  <c r="K17" i="2" s="1"/>
  <c r="I31" i="6"/>
  <c r="H31" i="6"/>
  <c r="G31" i="6"/>
  <c r="H17" i="2" s="1"/>
  <c r="F31" i="6"/>
  <c r="G17" i="2" s="1"/>
  <c r="Z30" i="6"/>
  <c r="Y30" i="6"/>
  <c r="X30" i="6"/>
  <c r="W30" i="6"/>
  <c r="V30" i="6"/>
  <c r="U30" i="6"/>
  <c r="T30" i="6"/>
  <c r="S30" i="6"/>
  <c r="R30" i="6"/>
  <c r="Q30" i="6"/>
  <c r="O30" i="6"/>
  <c r="N30" i="6"/>
  <c r="M30" i="6"/>
  <c r="L30" i="6"/>
  <c r="K30" i="6"/>
  <c r="J30" i="6"/>
  <c r="I30" i="6"/>
  <c r="H30" i="6"/>
  <c r="G30" i="6"/>
  <c r="F30" i="6"/>
  <c r="G16" i="2" s="1"/>
  <c r="G14" i="2" s="1"/>
  <c r="O72" i="6"/>
  <c r="N72" i="6"/>
  <c r="M72" i="6"/>
  <c r="L72" i="6"/>
  <c r="K72" i="6"/>
  <c r="J72" i="6"/>
  <c r="I72" i="6"/>
  <c r="H72" i="6"/>
  <c r="G72" i="6"/>
  <c r="F72" i="6"/>
  <c r="Z72" i="6"/>
  <c r="Y72" i="6"/>
  <c r="X72" i="6"/>
  <c r="W72" i="6"/>
  <c r="V72" i="6"/>
  <c r="U72" i="6"/>
  <c r="T72" i="6"/>
  <c r="S72" i="6"/>
  <c r="R72" i="6"/>
  <c r="Q72" i="6"/>
  <c r="Z71" i="6"/>
  <c r="Y71" i="6"/>
  <c r="X71" i="6"/>
  <c r="W71" i="6"/>
  <c r="V71" i="6"/>
  <c r="U71" i="6"/>
  <c r="T71" i="6"/>
  <c r="S71" i="6"/>
  <c r="R71" i="6"/>
  <c r="Q71" i="6"/>
  <c r="O71" i="6"/>
  <c r="N71" i="6"/>
  <c r="M71" i="6"/>
  <c r="L71" i="6"/>
  <c r="K71" i="6"/>
  <c r="BT27" i="2" s="1"/>
  <c r="J71" i="6"/>
  <c r="I71" i="6"/>
  <c r="BJ27" i="2" s="1"/>
  <c r="H71" i="6"/>
  <c r="BI27" i="2" s="1"/>
  <c r="G71" i="6"/>
  <c r="BH27" i="2" s="1"/>
  <c r="F71" i="6"/>
  <c r="BG27" i="2" s="1"/>
  <c r="Z70" i="6"/>
  <c r="Y70" i="6"/>
  <c r="X70" i="6"/>
  <c r="W70" i="6"/>
  <c r="V70" i="6"/>
  <c r="U70" i="6"/>
  <c r="T70" i="6"/>
  <c r="S70" i="6"/>
  <c r="R70" i="6"/>
  <c r="Q70" i="6"/>
  <c r="O70" i="6"/>
  <c r="N70" i="6"/>
  <c r="M70" i="6"/>
  <c r="L70" i="6"/>
  <c r="K70" i="6"/>
  <c r="BT26" i="2" s="1"/>
  <c r="J70" i="6"/>
  <c r="I70" i="6"/>
  <c r="H70" i="6"/>
  <c r="G70" i="6"/>
  <c r="F70" i="6"/>
  <c r="BG26" i="2" s="1"/>
  <c r="Z69" i="6"/>
  <c r="Y69" i="6"/>
  <c r="X69" i="6"/>
  <c r="W69" i="6"/>
  <c r="V69" i="6"/>
  <c r="U69" i="6"/>
  <c r="T69" i="6"/>
  <c r="S69" i="6"/>
  <c r="R69" i="6"/>
  <c r="Q69" i="6"/>
  <c r="O69" i="6"/>
  <c r="N69" i="6"/>
  <c r="M69" i="6"/>
  <c r="L69" i="6"/>
  <c r="K69" i="6"/>
  <c r="BT25" i="2" s="1"/>
  <c r="J69" i="6"/>
  <c r="I69" i="6"/>
  <c r="H69" i="6"/>
  <c r="BI25" i="2" s="1"/>
  <c r="G69" i="6"/>
  <c r="BH25" i="2" s="1"/>
  <c r="F69" i="6"/>
  <c r="BG25" i="2" s="1"/>
  <c r="Z68" i="6"/>
  <c r="Y68" i="6"/>
  <c r="X68" i="6"/>
  <c r="W68" i="6"/>
  <c r="V68" i="6"/>
  <c r="U68" i="6"/>
  <c r="T68" i="6"/>
  <c r="S68" i="6"/>
  <c r="R68" i="6"/>
  <c r="Q68" i="6"/>
  <c r="O68" i="6"/>
  <c r="N68" i="6"/>
  <c r="M68" i="6"/>
  <c r="L68" i="6"/>
  <c r="K68" i="6"/>
  <c r="BT24" i="2" s="1"/>
  <c r="J68" i="6"/>
  <c r="I68" i="6"/>
  <c r="H68" i="6"/>
  <c r="G68" i="6"/>
  <c r="BH24" i="2" s="1"/>
  <c r="F68" i="6"/>
  <c r="BG24" i="2" s="1"/>
  <c r="Z67" i="6"/>
  <c r="Y67" i="6"/>
  <c r="X67" i="6"/>
  <c r="W67" i="6"/>
  <c r="V67" i="6"/>
  <c r="U67" i="6"/>
  <c r="T67" i="6"/>
  <c r="S67" i="6"/>
  <c r="R67" i="6"/>
  <c r="Q67" i="6"/>
  <c r="O67" i="6"/>
  <c r="N67" i="6"/>
  <c r="M67" i="6"/>
  <c r="L67" i="6"/>
  <c r="K67" i="6"/>
  <c r="BT23" i="2" s="1"/>
  <c r="J67" i="6"/>
  <c r="I67" i="6"/>
  <c r="H67" i="6"/>
  <c r="BI23" i="2" s="1"/>
  <c r="G67" i="6"/>
  <c r="BH23" i="2" s="1"/>
  <c r="F67" i="6"/>
  <c r="BG23" i="2" s="1"/>
  <c r="Z66" i="6"/>
  <c r="Y66" i="6"/>
  <c r="X66" i="6"/>
  <c r="W66" i="6"/>
  <c r="V66" i="6"/>
  <c r="U66" i="6"/>
  <c r="T66" i="6"/>
  <c r="S66" i="6"/>
  <c r="R66" i="6"/>
  <c r="Q66" i="6"/>
  <c r="O66" i="6"/>
  <c r="N66" i="6"/>
  <c r="M66" i="6"/>
  <c r="L66" i="6"/>
  <c r="K66" i="6"/>
  <c r="BL22" i="2" s="1"/>
  <c r="J66" i="6"/>
  <c r="I66" i="6"/>
  <c r="H66" i="6"/>
  <c r="BI22" i="2" s="1"/>
  <c r="G66" i="6"/>
  <c r="BH22" i="2" s="1"/>
  <c r="F66" i="6"/>
  <c r="BG22" i="2" s="1"/>
  <c r="Z65" i="6"/>
  <c r="Y65" i="6"/>
  <c r="X65" i="6"/>
  <c r="W65" i="6"/>
  <c r="V65" i="6"/>
  <c r="U65" i="6"/>
  <c r="T65" i="6"/>
  <c r="S65" i="6"/>
  <c r="R65" i="6"/>
  <c r="Q65" i="6"/>
  <c r="O65" i="6"/>
  <c r="N65" i="6"/>
  <c r="M65" i="6"/>
  <c r="L65" i="6"/>
  <c r="K65" i="6"/>
  <c r="BL21" i="2" s="1"/>
  <c r="J65" i="6"/>
  <c r="I65" i="6"/>
  <c r="H65" i="6"/>
  <c r="BI21" i="2" s="1"/>
  <c r="G65" i="6"/>
  <c r="BH21" i="2" s="1"/>
  <c r="F65" i="6"/>
  <c r="BG21" i="2" s="1"/>
  <c r="Z64" i="6"/>
  <c r="Y64" i="6"/>
  <c r="X64" i="6"/>
  <c r="W64" i="6"/>
  <c r="V64" i="6"/>
  <c r="U64" i="6"/>
  <c r="T64" i="6"/>
  <c r="S64" i="6"/>
  <c r="R64" i="6"/>
  <c r="Q64" i="6"/>
  <c r="O64" i="6"/>
  <c r="N64" i="6"/>
  <c r="M64" i="6"/>
  <c r="L64" i="6"/>
  <c r="K64" i="6"/>
  <c r="BT20" i="2" s="1"/>
  <c r="J64" i="6"/>
  <c r="I64" i="6"/>
  <c r="H64" i="6"/>
  <c r="BI20" i="2" s="1"/>
  <c r="G64" i="6"/>
  <c r="BH20" i="2" s="1"/>
  <c r="F64" i="6"/>
  <c r="BG20" i="2" s="1"/>
  <c r="Z63" i="6"/>
  <c r="Y63" i="6"/>
  <c r="X63" i="6"/>
  <c r="W63" i="6"/>
  <c r="V63" i="6"/>
  <c r="U63" i="6"/>
  <c r="T63" i="6"/>
  <c r="S63" i="6"/>
  <c r="R63" i="6"/>
  <c r="Q63" i="6"/>
  <c r="O63" i="6"/>
  <c r="N63" i="6"/>
  <c r="M63" i="6"/>
  <c r="L63" i="6"/>
  <c r="K63" i="6"/>
  <c r="BT19" i="2" s="1"/>
  <c r="J63" i="6"/>
  <c r="I63" i="6"/>
  <c r="H63" i="6"/>
  <c r="BI19" i="2" s="1"/>
  <c r="G63" i="6"/>
  <c r="BH19" i="2" s="1"/>
  <c r="F63" i="6"/>
  <c r="BG19" i="2" s="1"/>
  <c r="Z62" i="6"/>
  <c r="Y62" i="6"/>
  <c r="X62" i="6"/>
  <c r="W62" i="6"/>
  <c r="V62" i="6"/>
  <c r="U62" i="6"/>
  <c r="T62" i="6"/>
  <c r="S62" i="6"/>
  <c r="R62" i="6"/>
  <c r="Q62" i="6"/>
  <c r="O62" i="6"/>
  <c r="N62" i="6"/>
  <c r="M62" i="6"/>
  <c r="L62" i="6"/>
  <c r="K62" i="6"/>
  <c r="BT18" i="2" s="1"/>
  <c r="J62" i="6"/>
  <c r="I62" i="6"/>
  <c r="H62" i="6"/>
  <c r="BI18" i="2" s="1"/>
  <c r="G62" i="6"/>
  <c r="BH18" i="2" s="1"/>
  <c r="F62" i="6"/>
  <c r="BG18" i="2" s="1"/>
  <c r="Z61" i="6"/>
  <c r="Y61" i="6"/>
  <c r="X61" i="6"/>
  <c r="W61" i="6"/>
  <c r="V61" i="6"/>
  <c r="U61" i="6"/>
  <c r="T61" i="6"/>
  <c r="S61" i="6"/>
  <c r="R61" i="6"/>
  <c r="Q61" i="6"/>
  <c r="O61" i="6"/>
  <c r="N61" i="6"/>
  <c r="M61" i="6"/>
  <c r="L61" i="6"/>
  <c r="K61" i="6"/>
  <c r="BT17" i="2" s="1"/>
  <c r="J61" i="6"/>
  <c r="I61" i="6"/>
  <c r="H61" i="6"/>
  <c r="BI17" i="2" s="1"/>
  <c r="G61" i="6"/>
  <c r="BH17" i="2" s="1"/>
  <c r="F61" i="6"/>
  <c r="BG17" i="2" s="1"/>
  <c r="Z60" i="6"/>
  <c r="Y60" i="6"/>
  <c r="X60" i="6"/>
  <c r="W60" i="6"/>
  <c r="V60" i="6"/>
  <c r="U60" i="6"/>
  <c r="T60" i="6"/>
  <c r="S60" i="6"/>
  <c r="R60" i="6"/>
  <c r="Q60" i="6"/>
  <c r="O60" i="6"/>
  <c r="N60" i="6"/>
  <c r="M60" i="6"/>
  <c r="L60" i="6"/>
  <c r="K60" i="6"/>
  <c r="J60" i="6"/>
  <c r="I60" i="6"/>
  <c r="H60" i="6"/>
  <c r="G60" i="6"/>
  <c r="F60" i="6"/>
  <c r="BG16" i="2" s="1"/>
  <c r="BG14" i="2" s="1"/>
  <c r="O122" i="6"/>
  <c r="N122" i="6"/>
  <c r="M122" i="6"/>
  <c r="L122" i="6"/>
  <c r="K122" i="6"/>
  <c r="J122" i="6"/>
  <c r="I122" i="6"/>
  <c r="H122" i="6"/>
  <c r="G122" i="6"/>
  <c r="F122" i="6"/>
  <c r="Z122" i="6"/>
  <c r="Y122" i="6"/>
  <c r="X122" i="6"/>
  <c r="W122" i="6"/>
  <c r="V122" i="6"/>
  <c r="U122" i="6"/>
  <c r="T122" i="6"/>
  <c r="S122" i="6"/>
  <c r="R122" i="6"/>
  <c r="Q122" i="6"/>
  <c r="Z121" i="6"/>
  <c r="Y121" i="6"/>
  <c r="X121" i="6"/>
  <c r="W121" i="6"/>
  <c r="V121" i="6"/>
  <c r="U121" i="6"/>
  <c r="T121" i="6"/>
  <c r="S121" i="6"/>
  <c r="R121" i="6"/>
  <c r="Q121" i="6"/>
  <c r="O121" i="6"/>
  <c r="N121" i="6"/>
  <c r="M121" i="6"/>
  <c r="L121" i="6"/>
  <c r="K121" i="6"/>
  <c r="J121" i="6"/>
  <c r="I121" i="6"/>
  <c r="H121" i="6"/>
  <c r="BI27" i="3" s="1"/>
  <c r="G121" i="6"/>
  <c r="BH27" i="3" s="1"/>
  <c r="F121" i="6"/>
  <c r="BG27" i="3" s="1"/>
  <c r="Z120" i="6"/>
  <c r="Y120" i="6"/>
  <c r="X120" i="6"/>
  <c r="W120" i="6"/>
  <c r="V120" i="6"/>
  <c r="U120" i="6"/>
  <c r="T120" i="6"/>
  <c r="S120" i="6"/>
  <c r="R120" i="6"/>
  <c r="Q120" i="6"/>
  <c r="O120" i="6"/>
  <c r="N120" i="6"/>
  <c r="M120" i="6"/>
  <c r="L120" i="6"/>
  <c r="K120" i="6"/>
  <c r="J120" i="6"/>
  <c r="I120" i="6"/>
  <c r="H120" i="6"/>
  <c r="BI26" i="3" s="1"/>
  <c r="G120" i="6"/>
  <c r="BH26" i="3" s="1"/>
  <c r="F120" i="6"/>
  <c r="Z119" i="6"/>
  <c r="Y119" i="6"/>
  <c r="X119" i="6"/>
  <c r="W119" i="6"/>
  <c r="V119" i="6"/>
  <c r="U119" i="6"/>
  <c r="T119" i="6"/>
  <c r="S119" i="6"/>
  <c r="R119" i="6"/>
  <c r="Q119" i="6"/>
  <c r="O119" i="6"/>
  <c r="N119" i="6"/>
  <c r="BN25" i="3" s="1"/>
  <c r="M119" i="6"/>
  <c r="L119" i="6"/>
  <c r="K119" i="6"/>
  <c r="J119" i="6"/>
  <c r="I119" i="6"/>
  <c r="H119" i="6"/>
  <c r="BI25" i="3" s="1"/>
  <c r="G119" i="6"/>
  <c r="BH25" i="3" s="1"/>
  <c r="F119" i="6"/>
  <c r="BG25" i="3" s="1"/>
  <c r="Z118" i="6"/>
  <c r="Y118" i="6"/>
  <c r="X118" i="6"/>
  <c r="W118" i="6"/>
  <c r="V118" i="6"/>
  <c r="U118" i="6"/>
  <c r="T118" i="6"/>
  <c r="S118" i="6"/>
  <c r="R118" i="6"/>
  <c r="Q118" i="6"/>
  <c r="O118" i="6"/>
  <c r="N118" i="6"/>
  <c r="M118" i="6"/>
  <c r="L118" i="6"/>
  <c r="K118" i="6"/>
  <c r="J118" i="6"/>
  <c r="I118" i="6"/>
  <c r="H118" i="6"/>
  <c r="BI24" i="3" s="1"/>
  <c r="G118" i="6"/>
  <c r="BH24" i="3" s="1"/>
  <c r="F118" i="6"/>
  <c r="Z117" i="6"/>
  <c r="Y117" i="6"/>
  <c r="X117" i="6"/>
  <c r="W117" i="6"/>
  <c r="V117" i="6"/>
  <c r="U117" i="6"/>
  <c r="T117" i="6"/>
  <c r="S117" i="6"/>
  <c r="R117" i="6"/>
  <c r="Q117" i="6"/>
  <c r="O117" i="6"/>
  <c r="N117" i="6"/>
  <c r="M117" i="6"/>
  <c r="L117" i="6"/>
  <c r="K117" i="6"/>
  <c r="J117" i="6"/>
  <c r="I117" i="6"/>
  <c r="H117" i="6"/>
  <c r="BI23" i="3" s="1"/>
  <c r="BI52" i="3" s="1"/>
  <c r="G117" i="6"/>
  <c r="BH23" i="3" s="1"/>
  <c r="F117" i="6"/>
  <c r="BG23" i="3" s="1"/>
  <c r="Z116" i="6"/>
  <c r="Y116" i="6"/>
  <c r="X116" i="6"/>
  <c r="W116" i="6"/>
  <c r="V116" i="6"/>
  <c r="U116" i="6"/>
  <c r="T116" i="6"/>
  <c r="S116" i="6"/>
  <c r="R116" i="6"/>
  <c r="Q116" i="6"/>
  <c r="O116" i="6"/>
  <c r="N116" i="6"/>
  <c r="M116" i="6"/>
  <c r="L116" i="6"/>
  <c r="K116" i="6"/>
  <c r="J116" i="6"/>
  <c r="I116" i="6"/>
  <c r="H116" i="6"/>
  <c r="BI22" i="3" s="1"/>
  <c r="G116" i="6"/>
  <c r="BH22" i="3" s="1"/>
  <c r="F116" i="6"/>
  <c r="Z115" i="6"/>
  <c r="Y115" i="6"/>
  <c r="X115" i="6"/>
  <c r="W115" i="6"/>
  <c r="V115" i="6"/>
  <c r="U115" i="6"/>
  <c r="T115" i="6"/>
  <c r="S115" i="6"/>
  <c r="R115" i="6"/>
  <c r="Q115" i="6"/>
  <c r="O115" i="6"/>
  <c r="N115" i="6"/>
  <c r="M115" i="6"/>
  <c r="L115" i="6"/>
  <c r="K115" i="6"/>
  <c r="J115" i="6"/>
  <c r="I115" i="6"/>
  <c r="H115" i="6"/>
  <c r="BI21" i="3" s="1"/>
  <c r="BI65" i="3" s="1"/>
  <c r="G115" i="6"/>
  <c r="BH21" i="3" s="1"/>
  <c r="BH65" i="3" s="1"/>
  <c r="F115" i="6"/>
  <c r="BG21" i="3" s="1"/>
  <c r="Z114" i="6"/>
  <c r="Y114" i="6"/>
  <c r="X114" i="6"/>
  <c r="W114" i="6"/>
  <c r="V114" i="6"/>
  <c r="U114" i="6"/>
  <c r="T114" i="6"/>
  <c r="S114" i="6"/>
  <c r="R114" i="6"/>
  <c r="Q114" i="6"/>
  <c r="O114" i="6"/>
  <c r="N114" i="6"/>
  <c r="M114" i="6"/>
  <c r="L114" i="6"/>
  <c r="K114" i="6"/>
  <c r="J114" i="6"/>
  <c r="I114" i="6"/>
  <c r="H114" i="6"/>
  <c r="BI20" i="3" s="1"/>
  <c r="G114" i="6"/>
  <c r="BH20" i="3" s="1"/>
  <c r="BS20" i="3" s="1"/>
  <c r="F114" i="6"/>
  <c r="Z113" i="6"/>
  <c r="Y113" i="6"/>
  <c r="X113" i="6"/>
  <c r="W113" i="6"/>
  <c r="V113" i="6"/>
  <c r="U113" i="6"/>
  <c r="T113" i="6"/>
  <c r="S113" i="6"/>
  <c r="R113" i="6"/>
  <c r="Q113" i="6"/>
  <c r="O113" i="6"/>
  <c r="N113" i="6"/>
  <c r="M113" i="6"/>
  <c r="L113" i="6"/>
  <c r="K113" i="6"/>
  <c r="J113" i="6"/>
  <c r="I113" i="6"/>
  <c r="H113" i="6"/>
  <c r="BI19" i="3" s="1"/>
  <c r="BI64" i="3" s="1"/>
  <c r="G113" i="6"/>
  <c r="BH19" i="3" s="1"/>
  <c r="BH64" i="3" s="1"/>
  <c r="F113" i="6"/>
  <c r="BG19" i="3" s="1"/>
  <c r="Z112" i="6"/>
  <c r="Y112" i="6"/>
  <c r="X112" i="6"/>
  <c r="W112" i="6"/>
  <c r="V112" i="6"/>
  <c r="U112" i="6"/>
  <c r="T112" i="6"/>
  <c r="S112" i="6"/>
  <c r="R112" i="6"/>
  <c r="Q112" i="6"/>
  <c r="O112" i="6"/>
  <c r="N112" i="6"/>
  <c r="M112" i="6"/>
  <c r="L112" i="6"/>
  <c r="K112" i="6"/>
  <c r="J112" i="6"/>
  <c r="I112" i="6"/>
  <c r="H112" i="6"/>
  <c r="BI18" i="3" s="1"/>
  <c r="G112" i="6"/>
  <c r="BH18" i="3" s="1"/>
  <c r="F112" i="6"/>
  <c r="Z111" i="6"/>
  <c r="Y111" i="6"/>
  <c r="X111" i="6"/>
  <c r="W111" i="6"/>
  <c r="V111" i="6"/>
  <c r="U111" i="6"/>
  <c r="T111" i="6"/>
  <c r="S111" i="6"/>
  <c r="R111" i="6"/>
  <c r="Q111" i="6"/>
  <c r="O111" i="6"/>
  <c r="N111" i="6"/>
  <c r="BN17" i="3" s="1"/>
  <c r="M111" i="6"/>
  <c r="L111" i="6"/>
  <c r="K111" i="6"/>
  <c r="J111" i="6"/>
  <c r="I111" i="6"/>
  <c r="H111" i="6"/>
  <c r="G111" i="6"/>
  <c r="BH17" i="3" s="1"/>
  <c r="BH58" i="3" s="1"/>
  <c r="BH59" i="3" s="1"/>
  <c r="F111" i="6"/>
  <c r="BG17" i="3" s="1"/>
  <c r="Z110" i="6"/>
  <c r="Y110" i="6"/>
  <c r="X110" i="6"/>
  <c r="W110" i="6"/>
  <c r="V110" i="6"/>
  <c r="U110" i="6"/>
  <c r="T110" i="6"/>
  <c r="S110" i="6"/>
  <c r="R110" i="6"/>
  <c r="Q110" i="6"/>
  <c r="O110" i="6"/>
  <c r="N110" i="6"/>
  <c r="M110" i="6"/>
  <c r="L110" i="6"/>
  <c r="K110" i="6"/>
  <c r="J110" i="6"/>
  <c r="I110" i="6"/>
  <c r="H110" i="6"/>
  <c r="G110" i="6"/>
  <c r="F110" i="6"/>
  <c r="BG16" i="3" s="1"/>
  <c r="BG14" i="3" s="1"/>
  <c r="BN14" i="3" s="1"/>
  <c r="BN87" i="3" s="1"/>
  <c r="BM7" i="5"/>
  <c r="AM7" i="5"/>
  <c r="M7" i="5"/>
  <c r="BM6" i="5"/>
  <c r="AM6" i="5"/>
  <c r="M6" i="5"/>
  <c r="BM3" i="5"/>
  <c r="AM3" i="5"/>
  <c r="M3" i="5"/>
  <c r="BA2" i="5"/>
  <c r="AA2" i="5"/>
  <c r="A2" i="5"/>
  <c r="BN7" i="4"/>
  <c r="AN7" i="4"/>
  <c r="N7" i="4"/>
  <c r="BN6" i="4"/>
  <c r="AN6" i="4"/>
  <c r="N6" i="4"/>
  <c r="BQ3" i="4"/>
  <c r="AQ3" i="4"/>
  <c r="Q3" i="4"/>
  <c r="BA2" i="4"/>
  <c r="AA2" i="4"/>
  <c r="A2" i="4"/>
  <c r="BU47" i="3"/>
  <c r="BT47" i="3"/>
  <c r="BM47" i="3"/>
  <c r="BK47" i="3"/>
  <c r="BJ47" i="3"/>
  <c r="BI47" i="3"/>
  <c r="BH47" i="3"/>
  <c r="BC47" i="3"/>
  <c r="AU47" i="3"/>
  <c r="AT47" i="3"/>
  <c r="AL47" i="3" s="1"/>
  <c r="AM47" i="3"/>
  <c r="AK47" i="3"/>
  <c r="AJ47" i="3"/>
  <c r="AI47" i="3"/>
  <c r="AC47" i="3"/>
  <c r="U47" i="3"/>
  <c r="T47" i="3"/>
  <c r="M47" i="3"/>
  <c r="K47" i="3"/>
  <c r="J47" i="3"/>
  <c r="I47" i="3"/>
  <c r="H47" i="3"/>
  <c r="C47" i="3"/>
  <c r="BU44" i="3"/>
  <c r="BT44" i="3"/>
  <c r="BK44" i="3"/>
  <c r="AU44" i="3"/>
  <c r="AT44" i="3"/>
  <c r="AK44" i="3"/>
  <c r="U44" i="3"/>
  <c r="T44" i="3"/>
  <c r="K44" i="3"/>
  <c r="BU43" i="3"/>
  <c r="BT43" i="3"/>
  <c r="BK43" i="3"/>
  <c r="AU43" i="3"/>
  <c r="AT43" i="3"/>
  <c r="AL43" i="3" s="1"/>
  <c r="AK43" i="3"/>
  <c r="U43" i="3"/>
  <c r="T43" i="3"/>
  <c r="K43" i="3"/>
  <c r="BU42" i="3"/>
  <c r="BL42" i="3" s="1"/>
  <c r="BT42" i="3"/>
  <c r="BK42" i="3"/>
  <c r="AU42" i="3"/>
  <c r="AT42" i="3"/>
  <c r="AK42" i="3"/>
  <c r="U42" i="3"/>
  <c r="T42" i="3"/>
  <c r="K42" i="3"/>
  <c r="BU40" i="3"/>
  <c r="BT40" i="3"/>
  <c r="BM40" i="3"/>
  <c r="BK40" i="3"/>
  <c r="BJ40" i="3"/>
  <c r="BI40" i="3"/>
  <c r="BH40" i="3"/>
  <c r="AU40" i="3"/>
  <c r="AT40" i="3"/>
  <c r="AL40" i="3" s="1"/>
  <c r="AM40" i="3"/>
  <c r="AK40" i="3"/>
  <c r="AJ40" i="3"/>
  <c r="AI40" i="3"/>
  <c r="AH40" i="3"/>
  <c r="U40" i="3"/>
  <c r="T40" i="3"/>
  <c r="M40" i="3"/>
  <c r="K40" i="3"/>
  <c r="J40" i="3"/>
  <c r="I40" i="3"/>
  <c r="S40" i="3" s="1"/>
  <c r="H40" i="3"/>
  <c r="BU39" i="3"/>
  <c r="BT39" i="3"/>
  <c r="BM39" i="3"/>
  <c r="BK39" i="3"/>
  <c r="BJ39" i="3"/>
  <c r="BI39" i="3"/>
  <c r="BH39" i="3"/>
  <c r="BG39" i="3" s="1"/>
  <c r="BS39" i="3" s="1"/>
  <c r="AU39" i="3"/>
  <c r="AT39" i="3"/>
  <c r="AM39" i="3"/>
  <c r="AK39" i="3"/>
  <c r="AJ39" i="3"/>
  <c r="AI39" i="3"/>
  <c r="AH39" i="3"/>
  <c r="U39" i="3"/>
  <c r="T39" i="3"/>
  <c r="M39" i="3"/>
  <c r="K39" i="3"/>
  <c r="J39" i="3"/>
  <c r="I39" i="3"/>
  <c r="H39" i="3"/>
  <c r="BU38" i="3"/>
  <c r="BT38" i="3"/>
  <c r="BT63" i="3" s="1"/>
  <c r="BM38" i="3"/>
  <c r="BK38" i="3"/>
  <c r="BJ38" i="3"/>
  <c r="BI38" i="3"/>
  <c r="BH38" i="3"/>
  <c r="AU38" i="3"/>
  <c r="AT38" i="3"/>
  <c r="AM38" i="3"/>
  <c r="AK38" i="3"/>
  <c r="AJ38" i="3"/>
  <c r="AI38" i="3"/>
  <c r="AH38" i="3"/>
  <c r="U38" i="3"/>
  <c r="T38" i="3"/>
  <c r="M38" i="3"/>
  <c r="K38" i="3"/>
  <c r="J38" i="3"/>
  <c r="I38" i="3"/>
  <c r="H38" i="3"/>
  <c r="BU27" i="3"/>
  <c r="BT27" i="3"/>
  <c r="BL27" i="3" s="1"/>
  <c r="BO27" i="3"/>
  <c r="BN27" i="3"/>
  <c r="BM27" i="3"/>
  <c r="BK27" i="3"/>
  <c r="BJ27" i="3"/>
  <c r="AU27" i="3"/>
  <c r="AT27" i="3"/>
  <c r="AL27" i="3" s="1"/>
  <c r="AO27" i="3"/>
  <c r="AK27" i="3"/>
  <c r="AJ27" i="3"/>
  <c r="AI27" i="3"/>
  <c r="AH27" i="3"/>
  <c r="AG27" i="3"/>
  <c r="U27" i="3"/>
  <c r="T27" i="3"/>
  <c r="L27" i="3" s="1"/>
  <c r="O27" i="3"/>
  <c r="N27" i="3"/>
  <c r="M27" i="3"/>
  <c r="K27" i="3"/>
  <c r="J27" i="3"/>
  <c r="BU26" i="3"/>
  <c r="BT26" i="3"/>
  <c r="BO26" i="3"/>
  <c r="BN26" i="3"/>
  <c r="BM26" i="3"/>
  <c r="BK26" i="3"/>
  <c r="BJ26" i="3"/>
  <c r="BG26" i="3"/>
  <c r="AU26" i="3"/>
  <c r="AT26" i="3"/>
  <c r="AL26" i="3" s="1"/>
  <c r="AO26" i="3"/>
  <c r="AN26" i="3"/>
  <c r="AM26" i="3"/>
  <c r="AJ26" i="3"/>
  <c r="AI26" i="3"/>
  <c r="U26" i="3"/>
  <c r="T26" i="3"/>
  <c r="L26" i="3" s="1"/>
  <c r="O26" i="3"/>
  <c r="N26" i="3"/>
  <c r="M26" i="3"/>
  <c r="J26" i="3"/>
  <c r="BU25" i="3"/>
  <c r="BU54" i="3" s="1"/>
  <c r="BT25" i="3"/>
  <c r="BO25" i="3"/>
  <c r="BM25" i="3"/>
  <c r="BK25" i="3"/>
  <c r="BJ25" i="3"/>
  <c r="AU25" i="3"/>
  <c r="AO25" i="3"/>
  <c r="AN25" i="3"/>
  <c r="AM25" i="3"/>
  <c r="AK25" i="3"/>
  <c r="AJ25" i="3"/>
  <c r="U25" i="3"/>
  <c r="U54" i="3" s="1"/>
  <c r="T25" i="3"/>
  <c r="L25" i="3" s="1"/>
  <c r="O25" i="3"/>
  <c r="N25" i="3"/>
  <c r="M25" i="3"/>
  <c r="K25" i="3"/>
  <c r="J25" i="3"/>
  <c r="BU24" i="3"/>
  <c r="BT24" i="3"/>
  <c r="BO24" i="3"/>
  <c r="BN24" i="3"/>
  <c r="BM24" i="3"/>
  <c r="BK24" i="3"/>
  <c r="BK53" i="3" s="1"/>
  <c r="BJ24" i="3"/>
  <c r="BG24" i="3"/>
  <c r="AU24" i="3"/>
  <c r="AT24" i="3"/>
  <c r="AL24" i="3" s="1"/>
  <c r="AO24" i="3"/>
  <c r="AJ24" i="3"/>
  <c r="U24" i="3"/>
  <c r="T24" i="3"/>
  <c r="L24" i="3" s="1"/>
  <c r="O24" i="3"/>
  <c r="N24" i="3"/>
  <c r="M24" i="3"/>
  <c r="J24" i="3"/>
  <c r="I24" i="3"/>
  <c r="BU23" i="3"/>
  <c r="BU52" i="3" s="1"/>
  <c r="BT23" i="3"/>
  <c r="BL23" i="3" s="1"/>
  <c r="BO23" i="3"/>
  <c r="BN23" i="3"/>
  <c r="BM23" i="3"/>
  <c r="BM52" i="3" s="1"/>
  <c r="BK23" i="3"/>
  <c r="BK52" i="3" s="1"/>
  <c r="BJ23" i="3"/>
  <c r="AU23" i="3"/>
  <c r="AU52" i="3" s="1"/>
  <c r="AT23" i="3"/>
  <c r="AL23" i="3" s="1"/>
  <c r="AO23" i="3"/>
  <c r="AM23" i="3"/>
  <c r="AJ23" i="3"/>
  <c r="U23" i="3"/>
  <c r="U52" i="3" s="1"/>
  <c r="T23" i="3"/>
  <c r="T52" i="3" s="1"/>
  <c r="O23" i="3"/>
  <c r="N23" i="3"/>
  <c r="M23" i="3"/>
  <c r="M52" i="3" s="1"/>
  <c r="J23" i="3"/>
  <c r="J52" i="3" s="1"/>
  <c r="BU22" i="3"/>
  <c r="BT22" i="3"/>
  <c r="BO22" i="3"/>
  <c r="BN22" i="3"/>
  <c r="BM22" i="3"/>
  <c r="BK22" i="3"/>
  <c r="BJ22" i="3"/>
  <c r="BG22" i="3"/>
  <c r="AU22" i="3"/>
  <c r="AT22" i="3"/>
  <c r="AO22" i="3"/>
  <c r="AN22" i="3"/>
  <c r="AM22" i="3"/>
  <c r="AK22" i="3"/>
  <c r="AJ22" i="3"/>
  <c r="U22" i="3"/>
  <c r="T22" i="3"/>
  <c r="L22" i="3" s="1"/>
  <c r="O22" i="3"/>
  <c r="N22" i="3"/>
  <c r="M22" i="3"/>
  <c r="J22" i="3"/>
  <c r="BU21" i="3"/>
  <c r="BU65" i="3" s="1"/>
  <c r="BT21" i="3"/>
  <c r="BO21" i="3"/>
  <c r="BN21" i="3"/>
  <c r="BM21" i="3"/>
  <c r="BK21" i="3"/>
  <c r="BJ21" i="3"/>
  <c r="BJ65" i="3" s="1"/>
  <c r="AU21" i="3"/>
  <c r="AU65" i="3" s="1"/>
  <c r="AT21" i="3"/>
  <c r="AO21" i="3"/>
  <c r="AN21" i="3"/>
  <c r="AM21" i="3"/>
  <c r="AK21" i="3"/>
  <c r="AJ21" i="3"/>
  <c r="U21" i="3"/>
  <c r="T21" i="3"/>
  <c r="L21" i="3" s="1"/>
  <c r="O21" i="3"/>
  <c r="N21" i="3"/>
  <c r="M21" i="3"/>
  <c r="J21" i="3"/>
  <c r="BU20" i="3"/>
  <c r="BT20" i="3"/>
  <c r="BO20" i="3"/>
  <c r="BN20" i="3"/>
  <c r="BM20" i="3"/>
  <c r="BK20" i="3"/>
  <c r="BJ20" i="3"/>
  <c r="BG20" i="3"/>
  <c r="AU20" i="3"/>
  <c r="AT20" i="3"/>
  <c r="AL20" i="3" s="1"/>
  <c r="AO20" i="3"/>
  <c r="AJ20" i="3"/>
  <c r="U20" i="3"/>
  <c r="T20" i="3"/>
  <c r="O20" i="3"/>
  <c r="N20" i="3"/>
  <c r="M20" i="3"/>
  <c r="J20" i="3"/>
  <c r="BU19" i="3"/>
  <c r="BT19" i="3"/>
  <c r="BT71" i="3" s="1"/>
  <c r="BO19" i="3"/>
  <c r="BN19" i="3"/>
  <c r="BM19" i="3"/>
  <c r="BM64" i="3" s="1"/>
  <c r="BK19" i="3"/>
  <c r="BJ19" i="3"/>
  <c r="BJ64" i="3" s="1"/>
  <c r="AU19" i="3"/>
  <c r="AT19" i="3"/>
  <c r="AT64" i="3" s="1"/>
  <c r="AO19" i="3"/>
  <c r="AJ19" i="3"/>
  <c r="AI19" i="3"/>
  <c r="U19" i="3"/>
  <c r="U64" i="3" s="1"/>
  <c r="T19" i="3"/>
  <c r="T71" i="3" s="1"/>
  <c r="O19" i="3"/>
  <c r="N19" i="3"/>
  <c r="M19" i="3"/>
  <c r="M64" i="3" s="1"/>
  <c r="K19" i="3"/>
  <c r="K71" i="3" s="1"/>
  <c r="J19" i="3"/>
  <c r="BU18" i="3"/>
  <c r="BT18" i="3"/>
  <c r="BO18" i="3"/>
  <c r="BN18" i="3"/>
  <c r="BM18" i="3"/>
  <c r="BK18" i="3"/>
  <c r="BJ18" i="3"/>
  <c r="BJ63" i="3" s="1"/>
  <c r="BG18" i="3"/>
  <c r="AU18" i="3"/>
  <c r="AT18" i="3"/>
  <c r="AT70" i="3" s="1"/>
  <c r="AO18" i="3"/>
  <c r="AN18" i="3"/>
  <c r="AK18" i="3"/>
  <c r="AJ18" i="3"/>
  <c r="U18" i="3"/>
  <c r="U70" i="3" s="1"/>
  <c r="T18" i="3"/>
  <c r="O18" i="3"/>
  <c r="N18" i="3"/>
  <c r="M18" i="3"/>
  <c r="J18" i="3"/>
  <c r="BU17" i="3"/>
  <c r="BU58" i="3" s="1"/>
  <c r="BU59" i="3" s="1"/>
  <c r="BT17" i="3"/>
  <c r="BT58" i="3" s="1"/>
  <c r="BT59" i="3" s="1"/>
  <c r="BO17" i="3"/>
  <c r="BM17" i="3"/>
  <c r="BM58" i="3" s="1"/>
  <c r="BM59" i="3" s="1"/>
  <c r="BK17" i="3"/>
  <c r="BK58" i="3" s="1"/>
  <c r="BK59" i="3" s="1"/>
  <c r="BJ17" i="3"/>
  <c r="BJ58" i="3" s="1"/>
  <c r="BJ59" i="3" s="1"/>
  <c r="BI17" i="3"/>
  <c r="BI58" i="3" s="1"/>
  <c r="BI59" i="3" s="1"/>
  <c r="AU17" i="3"/>
  <c r="AT17" i="3"/>
  <c r="AL17" i="3" s="1"/>
  <c r="AO17" i="3"/>
  <c r="AK17" i="3"/>
  <c r="AJ17" i="3"/>
  <c r="AI17" i="3"/>
  <c r="U17" i="3"/>
  <c r="U58" i="3" s="1"/>
  <c r="U59" i="3" s="1"/>
  <c r="T17" i="3"/>
  <c r="O17" i="3"/>
  <c r="N17" i="3"/>
  <c r="M17" i="3"/>
  <c r="M58" i="3" s="1"/>
  <c r="M59" i="3" s="1"/>
  <c r="J17" i="3"/>
  <c r="J58" i="3" s="1"/>
  <c r="J59" i="3" s="1"/>
  <c r="BA8" i="3"/>
  <c r="AA8" i="3"/>
  <c r="A8" i="3"/>
  <c r="BM7" i="3"/>
  <c r="AM7" i="3"/>
  <c r="M7" i="3"/>
  <c r="BM6" i="3"/>
  <c r="AM6" i="3"/>
  <c r="M6" i="3"/>
  <c r="BO3" i="3"/>
  <c r="AO3" i="3"/>
  <c r="O3" i="3"/>
  <c r="BA2" i="3"/>
  <c r="AA2" i="3"/>
  <c r="A2" i="3"/>
  <c r="BH70" i="4"/>
  <c r="AH70" i="4"/>
  <c r="H70" i="4"/>
  <c r="BG79" i="5"/>
  <c r="BG78" i="5"/>
  <c r="BG77" i="5"/>
  <c r="BG68" i="5"/>
  <c r="BG66" i="5"/>
  <c r="BG64" i="5"/>
  <c r="BG62" i="5"/>
  <c r="BG60" i="5"/>
  <c r="BG56" i="5"/>
  <c r="BG54" i="5"/>
  <c r="BG52" i="5"/>
  <c r="BG50" i="5"/>
  <c r="BG48" i="5"/>
  <c r="BG44" i="5"/>
  <c r="BG42" i="5"/>
  <c r="BG40" i="5"/>
  <c r="BG38" i="5"/>
  <c r="BG36" i="5"/>
  <c r="BU36" i="3"/>
  <c r="BT36" i="3"/>
  <c r="BL36" i="3" s="1"/>
  <c r="BG36" i="3" s="1"/>
  <c r="BS36" i="3" s="1"/>
  <c r="AG79" i="5"/>
  <c r="AG78" i="5"/>
  <c r="AG77" i="5"/>
  <c r="AG68" i="5"/>
  <c r="AG66" i="5"/>
  <c r="AG64" i="5"/>
  <c r="AJ64" i="5" s="1"/>
  <c r="AK64" i="5" s="1"/>
  <c r="AG62" i="5"/>
  <c r="AG60" i="5"/>
  <c r="AG56" i="5"/>
  <c r="AG54" i="5"/>
  <c r="AG52" i="5"/>
  <c r="AG50" i="5"/>
  <c r="AG48" i="5"/>
  <c r="AG44" i="5"/>
  <c r="AG42" i="5"/>
  <c r="AG40" i="5"/>
  <c r="AG38" i="5"/>
  <c r="AG36" i="5"/>
  <c r="AU36" i="3"/>
  <c r="AT36" i="3"/>
  <c r="AL36" i="3" s="1"/>
  <c r="G79" i="5"/>
  <c r="G78" i="5"/>
  <c r="G77" i="5"/>
  <c r="G68" i="5"/>
  <c r="G66" i="5"/>
  <c r="G64" i="5"/>
  <c r="J64" i="5" s="1"/>
  <c r="K64" i="5" s="1"/>
  <c r="G62" i="5"/>
  <c r="G60" i="5"/>
  <c r="G56" i="5"/>
  <c r="G54" i="5"/>
  <c r="G52" i="5"/>
  <c r="G50" i="5"/>
  <c r="G48" i="5"/>
  <c r="G44" i="5"/>
  <c r="J44" i="5" s="1"/>
  <c r="L44" i="5" s="1"/>
  <c r="G42" i="5"/>
  <c r="G40" i="5"/>
  <c r="G38" i="5"/>
  <c r="G36" i="5"/>
  <c r="U36" i="3"/>
  <c r="T36" i="3"/>
  <c r="L36" i="3" s="1"/>
  <c r="BG32" i="5"/>
  <c r="BG31" i="5"/>
  <c r="BG30" i="5"/>
  <c r="BG29" i="5"/>
  <c r="BG28" i="5"/>
  <c r="BJ28" i="5" s="1"/>
  <c r="BK28" i="5" s="1"/>
  <c r="BG27" i="5"/>
  <c r="BJ27" i="5" s="1"/>
  <c r="BK27" i="5" s="1"/>
  <c r="BG26" i="5"/>
  <c r="BG23" i="5"/>
  <c r="BG22" i="5"/>
  <c r="BG21" i="5"/>
  <c r="BG18" i="5"/>
  <c r="BG17" i="5"/>
  <c r="BG16" i="5"/>
  <c r="BG15" i="5"/>
  <c r="BG19" i="5" s="1"/>
  <c r="BG14" i="5"/>
  <c r="BU35" i="3"/>
  <c r="BT35" i="3"/>
  <c r="BU33" i="3"/>
  <c r="BT33" i="3"/>
  <c r="BU32" i="3"/>
  <c r="BT32" i="3"/>
  <c r="BM35" i="3"/>
  <c r="BK35" i="3"/>
  <c r="BJ35" i="3"/>
  <c r="BI35" i="3"/>
  <c r="BH35" i="3"/>
  <c r="BG35" i="3" s="1"/>
  <c r="BS35" i="3" s="1"/>
  <c r="BM33" i="3"/>
  <c r="BM32" i="3" s="1"/>
  <c r="BK33" i="3"/>
  <c r="BJ33" i="3"/>
  <c r="BI33" i="3"/>
  <c r="BI32" i="3" s="1"/>
  <c r="BH33" i="3"/>
  <c r="BK32" i="3"/>
  <c r="BJ32" i="3"/>
  <c r="BJ34" i="3" s="1"/>
  <c r="BJ55" i="3" s="1"/>
  <c r="BH32" i="3"/>
  <c r="AG32" i="5"/>
  <c r="AG31" i="5"/>
  <c r="AG30" i="5"/>
  <c r="AG29" i="5"/>
  <c r="AG28" i="5"/>
  <c r="AJ28" i="5" s="1"/>
  <c r="AK28" i="5" s="1"/>
  <c r="AG27" i="5"/>
  <c r="AJ27" i="5" s="1"/>
  <c r="AK27" i="5" s="1"/>
  <c r="AG26" i="5"/>
  <c r="AG23" i="5"/>
  <c r="AG22" i="5"/>
  <c r="AJ22" i="5" s="1"/>
  <c r="AK22" i="5" s="1"/>
  <c r="AL22" i="5" s="1"/>
  <c r="AG21" i="5"/>
  <c r="AG18" i="5"/>
  <c r="AG17" i="5"/>
  <c r="AG16" i="5"/>
  <c r="AG15" i="5"/>
  <c r="AG14" i="5"/>
  <c r="AU35" i="3"/>
  <c r="AT35" i="3"/>
  <c r="AU33" i="3"/>
  <c r="AU32" i="3" s="1"/>
  <c r="AT33" i="3"/>
  <c r="AT32" i="3" s="1"/>
  <c r="AM35" i="3"/>
  <c r="AK35" i="3"/>
  <c r="AJ35" i="3"/>
  <c r="AI35" i="3"/>
  <c r="AH35" i="3"/>
  <c r="AM33" i="3"/>
  <c r="AM32" i="3" s="1"/>
  <c r="AK33" i="3"/>
  <c r="AK34" i="3" s="1"/>
  <c r="AJ33" i="3"/>
  <c r="AJ32" i="3" s="1"/>
  <c r="AI33" i="3"/>
  <c r="AH33" i="3"/>
  <c r="AK32" i="3"/>
  <c r="AH32" i="3"/>
  <c r="G32" i="5"/>
  <c r="G31" i="5"/>
  <c r="J31" i="5" s="1"/>
  <c r="G30" i="5"/>
  <c r="G29" i="5"/>
  <c r="G28" i="5"/>
  <c r="G27" i="5"/>
  <c r="G26" i="5"/>
  <c r="G23" i="5"/>
  <c r="J23" i="5" s="1"/>
  <c r="G22" i="5"/>
  <c r="J22" i="5" s="1"/>
  <c r="K22" i="5" s="1"/>
  <c r="L22" i="5" s="1"/>
  <c r="G21" i="5"/>
  <c r="J21" i="5" s="1"/>
  <c r="K21" i="5" s="1"/>
  <c r="G18" i="5"/>
  <c r="J18" i="5" s="1"/>
  <c r="G17" i="5"/>
  <c r="J17" i="5" s="1"/>
  <c r="M17" i="5" s="1"/>
  <c r="G16" i="5"/>
  <c r="J16" i="5" s="1"/>
  <c r="K16" i="5" s="1"/>
  <c r="L16" i="5" s="1"/>
  <c r="G15" i="5"/>
  <c r="G19" i="5" s="1"/>
  <c r="G14" i="5"/>
  <c r="U35" i="3"/>
  <c r="T35" i="3"/>
  <c r="U33" i="3"/>
  <c r="U32" i="3" s="1"/>
  <c r="T33" i="3"/>
  <c r="L33" i="3" s="1"/>
  <c r="M35" i="3"/>
  <c r="K35" i="3"/>
  <c r="J35" i="3"/>
  <c r="I35" i="3"/>
  <c r="H35" i="3"/>
  <c r="M33" i="3"/>
  <c r="K33" i="3"/>
  <c r="J33" i="3"/>
  <c r="I33" i="3"/>
  <c r="I32" i="3" s="1"/>
  <c r="H33" i="3"/>
  <c r="H34" i="3" s="1"/>
  <c r="M32" i="3"/>
  <c r="K32" i="3"/>
  <c r="J32" i="3"/>
  <c r="J34" i="3" s="1"/>
  <c r="H32" i="3"/>
  <c r="BM69" i="5"/>
  <c r="AM69" i="5"/>
  <c r="M69" i="5"/>
  <c r="AI68" i="5"/>
  <c r="I68" i="5"/>
  <c r="BH66" i="5"/>
  <c r="BJ66" i="5"/>
  <c r="AJ66" i="5"/>
  <c r="AK66" i="5" s="1"/>
  <c r="AH66" i="5"/>
  <c r="I66" i="5"/>
  <c r="AI66" i="5" s="1"/>
  <c r="BI66" i="5" s="1"/>
  <c r="H66" i="5"/>
  <c r="BH65" i="5"/>
  <c r="BJ65" i="5" s="1"/>
  <c r="BK65" i="5" s="1"/>
  <c r="AH65" i="5"/>
  <c r="AJ65" i="5" s="1"/>
  <c r="AK65" i="5" s="1"/>
  <c r="I65" i="5"/>
  <c r="AI65" i="5" s="1"/>
  <c r="BI65" i="5" s="1"/>
  <c r="H65" i="5"/>
  <c r="J65" i="5" s="1"/>
  <c r="K65" i="5" s="1"/>
  <c r="BH64" i="5"/>
  <c r="AI64" i="5"/>
  <c r="BI64" i="5" s="1"/>
  <c r="BJ64" i="5" s="1"/>
  <c r="BK64" i="5" s="1"/>
  <c r="AH64" i="5"/>
  <c r="I64" i="5"/>
  <c r="H64" i="5"/>
  <c r="AI62" i="5"/>
  <c r="BI62" i="5" s="1"/>
  <c r="AJ62" i="5"/>
  <c r="I62" i="5"/>
  <c r="J62" i="5"/>
  <c r="K62" i="5" s="1"/>
  <c r="I61" i="5"/>
  <c r="AI61" i="5" s="1"/>
  <c r="BI60" i="5"/>
  <c r="BJ60" i="5" s="1"/>
  <c r="BK60" i="5" s="1"/>
  <c r="BG69" i="5"/>
  <c r="AJ60" i="5"/>
  <c r="AK60" i="5" s="1"/>
  <c r="AI60" i="5"/>
  <c r="I60" i="5"/>
  <c r="J60" i="5"/>
  <c r="K60" i="5" s="1"/>
  <c r="BM57" i="5"/>
  <c r="AM57" i="5"/>
  <c r="M57" i="5"/>
  <c r="BJ56" i="5"/>
  <c r="BL56" i="5" s="1"/>
  <c r="AJ56" i="5"/>
  <c r="AL56" i="5" s="1"/>
  <c r="L56" i="5"/>
  <c r="J56" i="5"/>
  <c r="I56" i="5"/>
  <c r="AI56" i="5" s="1"/>
  <c r="BI56" i="5" s="1"/>
  <c r="BI54" i="5"/>
  <c r="BH54" i="5"/>
  <c r="BJ54" i="5"/>
  <c r="AI54" i="5"/>
  <c r="AH54" i="5"/>
  <c r="AJ54" i="5"/>
  <c r="AL54" i="5" s="1"/>
  <c r="J54" i="5"/>
  <c r="L54" i="5" s="1"/>
  <c r="I54" i="5"/>
  <c r="H54" i="5"/>
  <c r="BH53" i="5"/>
  <c r="AI53" i="5"/>
  <c r="AH53" i="5"/>
  <c r="I53" i="5"/>
  <c r="J53" i="5" s="1"/>
  <c r="K53" i="5" s="1"/>
  <c r="H53" i="5"/>
  <c r="BH52" i="5"/>
  <c r="BJ52" i="5"/>
  <c r="BK52" i="5" s="1"/>
  <c r="AI52" i="5"/>
  <c r="BI52" i="5" s="1"/>
  <c r="AH52" i="5"/>
  <c r="AJ52" i="5"/>
  <c r="AK52" i="5" s="1"/>
  <c r="I52" i="5"/>
  <c r="H52" i="5"/>
  <c r="J52" i="5"/>
  <c r="K52" i="5" s="1"/>
  <c r="AI50" i="5"/>
  <c r="BI50" i="5" s="1"/>
  <c r="BJ50" i="5" s="1"/>
  <c r="I50" i="5"/>
  <c r="J50" i="5"/>
  <c r="I49" i="5"/>
  <c r="BG57" i="5"/>
  <c r="I48" i="5"/>
  <c r="AI48" i="5" s="1"/>
  <c r="BI48" i="5" s="1"/>
  <c r="BJ48" i="5" s="1"/>
  <c r="BK48" i="5" s="1"/>
  <c r="J48" i="5"/>
  <c r="K48" i="5" s="1"/>
  <c r="BM45" i="5"/>
  <c r="AM45" i="5"/>
  <c r="M45" i="5"/>
  <c r="BI44" i="5"/>
  <c r="AI44" i="5"/>
  <c r="AJ44" i="5"/>
  <c r="AL44" i="5" s="1"/>
  <c r="I44" i="5"/>
  <c r="BH42" i="5"/>
  <c r="AI42" i="5"/>
  <c r="BI42" i="5" s="1"/>
  <c r="AH42" i="5"/>
  <c r="I42" i="5"/>
  <c r="H42" i="5"/>
  <c r="J42" i="5"/>
  <c r="BH41" i="5"/>
  <c r="AJ41" i="5"/>
  <c r="AK41" i="5" s="1"/>
  <c r="AH41" i="5"/>
  <c r="K41" i="5"/>
  <c r="J41" i="5"/>
  <c r="I41" i="5"/>
  <c r="AI41" i="5" s="1"/>
  <c r="BI41" i="5" s="1"/>
  <c r="H41" i="5"/>
  <c r="BH40" i="5"/>
  <c r="AI40" i="5"/>
  <c r="BI40" i="5" s="1"/>
  <c r="AH40" i="5"/>
  <c r="I40" i="5"/>
  <c r="H40" i="5"/>
  <c r="I38" i="5"/>
  <c r="AI38" i="5" s="1"/>
  <c r="BI38" i="5" s="1"/>
  <c r="J37" i="5"/>
  <c r="K37" i="5" s="1"/>
  <c r="I37" i="5"/>
  <c r="AI37" i="5" s="1"/>
  <c r="AJ36" i="5"/>
  <c r="AK36" i="5" s="1"/>
  <c r="J36" i="5"/>
  <c r="K36" i="5" s="1"/>
  <c r="I36" i="5"/>
  <c r="AI36" i="5" s="1"/>
  <c r="BI36" i="5" s="1"/>
  <c r="I32" i="5"/>
  <c r="AI32" i="5" s="1"/>
  <c r="BI32" i="5" s="1"/>
  <c r="J32" i="5"/>
  <c r="I31" i="5"/>
  <c r="AI31" i="5" s="1"/>
  <c r="BI31" i="5" s="1"/>
  <c r="BJ30" i="5"/>
  <c r="BK30" i="5" s="1"/>
  <c r="BL30" i="5" s="1"/>
  <c r="BI30" i="5"/>
  <c r="AI30" i="5"/>
  <c r="AJ30" i="5"/>
  <c r="AK30" i="5" s="1"/>
  <c r="AL30" i="5" s="1"/>
  <c r="I30" i="5"/>
  <c r="J30" i="5"/>
  <c r="K30" i="5" s="1"/>
  <c r="L30" i="5" s="1"/>
  <c r="BJ29" i="5"/>
  <c r="BK29" i="5" s="1"/>
  <c r="BL29" i="5" s="1"/>
  <c r="AJ29" i="5"/>
  <c r="AK29" i="5" s="1"/>
  <c r="AL29" i="5" s="1"/>
  <c r="AI29" i="5"/>
  <c r="BI29" i="5" s="1"/>
  <c r="I29" i="5"/>
  <c r="J29" i="5"/>
  <c r="K29" i="5" s="1"/>
  <c r="L29" i="5" s="1"/>
  <c r="BI28" i="5"/>
  <c r="AI28" i="5"/>
  <c r="J28" i="5"/>
  <c r="K28" i="5" s="1"/>
  <c r="I28" i="5"/>
  <c r="AI27" i="5"/>
  <c r="BI27" i="5" s="1"/>
  <c r="J27" i="5"/>
  <c r="K27" i="5" s="1"/>
  <c r="I27" i="5"/>
  <c r="I26" i="5"/>
  <c r="AI26" i="5" s="1"/>
  <c r="BI26" i="5" s="1"/>
  <c r="BJ26" i="5" s="1"/>
  <c r="BK26" i="5" s="1"/>
  <c r="BG24" i="5"/>
  <c r="BG72" i="5" s="1"/>
  <c r="G24" i="5"/>
  <c r="BJ23" i="5"/>
  <c r="BK23" i="5" s="1"/>
  <c r="BL23" i="5" s="1"/>
  <c r="I23" i="5"/>
  <c r="AI23" i="5" s="1"/>
  <c r="BI23" i="5" s="1"/>
  <c r="AI22" i="5"/>
  <c r="BI22" i="5" s="1"/>
  <c r="BJ22" i="5" s="1"/>
  <c r="BK22" i="5" s="1"/>
  <c r="BL22" i="5" s="1"/>
  <c r="I22" i="5"/>
  <c r="BI21" i="5"/>
  <c r="BJ21" i="5" s="1"/>
  <c r="BK21" i="5" s="1"/>
  <c r="AI21" i="5"/>
  <c r="AI18" i="5"/>
  <c r="BI18" i="5" s="1"/>
  <c r="BJ18" i="5" s="1"/>
  <c r="AJ18" i="5"/>
  <c r="AI17" i="5"/>
  <c r="BI17" i="5" s="1"/>
  <c r="BJ17" i="5" s="1"/>
  <c r="AJ17" i="5"/>
  <c r="I17" i="5"/>
  <c r="AI16" i="5"/>
  <c r="BI16" i="5" s="1"/>
  <c r="BJ16" i="5" s="1"/>
  <c r="BK16" i="5" s="1"/>
  <c r="BL16" i="5" s="1"/>
  <c r="AJ16" i="5"/>
  <c r="AK16" i="5" s="1"/>
  <c r="AL16" i="5" s="1"/>
  <c r="AA16" i="5"/>
  <c r="AA17" i="5" s="1"/>
  <c r="AA18" i="5" s="1"/>
  <c r="AA19" i="5" s="1"/>
  <c r="AA20" i="5" s="1"/>
  <c r="AA21" i="5" s="1"/>
  <c r="AA22" i="5" s="1"/>
  <c r="AA23" i="5" s="1"/>
  <c r="AA24" i="5" s="1"/>
  <c r="AA25" i="5" s="1"/>
  <c r="AA26" i="5" s="1"/>
  <c r="AA27" i="5" s="1"/>
  <c r="AA28" i="5" s="1"/>
  <c r="AA29" i="5" s="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BA15" i="5"/>
  <c r="BA16" i="5" s="1"/>
  <c r="BA17" i="5" s="1"/>
  <c r="BA18" i="5" s="1"/>
  <c r="BA19" i="5" s="1"/>
  <c r="BA20" i="5" s="1"/>
  <c r="BA21" i="5" s="1"/>
  <c r="BA22" i="5" s="1"/>
  <c r="BA23" i="5" s="1"/>
  <c r="BA24" i="5" s="1"/>
  <c r="BA25" i="5" s="1"/>
  <c r="BA26" i="5" s="1"/>
  <c r="BA27" i="5" s="1"/>
  <c r="BA28" i="5" s="1"/>
  <c r="BA29" i="5" s="1"/>
  <c r="BA30" i="5" s="1"/>
  <c r="BA31" i="5" s="1"/>
  <c r="BA32" i="5" s="1"/>
  <c r="BA33" i="5" s="1"/>
  <c r="BA34" i="5" s="1"/>
  <c r="BA35" i="5" s="1"/>
  <c r="BA36" i="5" s="1"/>
  <c r="BA37" i="5" s="1"/>
  <c r="BA38" i="5" s="1"/>
  <c r="BA39" i="5" s="1"/>
  <c r="BA40" i="5" s="1"/>
  <c r="BA41" i="5" s="1"/>
  <c r="BA42" i="5" s="1"/>
  <c r="BA43" i="5" s="1"/>
  <c r="BA44" i="5" s="1"/>
  <c r="BA45" i="5" s="1"/>
  <c r="BA46" i="5" s="1"/>
  <c r="BA47" i="5" s="1"/>
  <c r="BA48" i="5" s="1"/>
  <c r="BA49" i="5" s="1"/>
  <c r="BA50" i="5" s="1"/>
  <c r="BA51" i="5" s="1"/>
  <c r="BA52" i="5" s="1"/>
  <c r="BA53" i="5" s="1"/>
  <c r="BA54" i="5" s="1"/>
  <c r="BA55" i="5" s="1"/>
  <c r="BA56" i="5" s="1"/>
  <c r="BA57" i="5" s="1"/>
  <c r="BA58" i="5" s="1"/>
  <c r="BA59" i="5" s="1"/>
  <c r="BA60" i="5" s="1"/>
  <c r="BA61" i="5" s="1"/>
  <c r="BA62" i="5" s="1"/>
  <c r="BA63" i="5" s="1"/>
  <c r="BA64" i="5" s="1"/>
  <c r="BA65" i="5" s="1"/>
  <c r="BA66" i="5" s="1"/>
  <c r="BA67" i="5" s="1"/>
  <c r="BA68" i="5" s="1"/>
  <c r="BA69" i="5" s="1"/>
  <c r="BA70" i="5" s="1"/>
  <c r="BA71" i="5" s="1"/>
  <c r="BA72" i="5" s="1"/>
  <c r="BA73" i="5" s="1"/>
  <c r="BA74" i="5" s="1"/>
  <c r="BA75" i="5" s="1"/>
  <c r="AI15" i="5"/>
  <c r="BI15" i="5" s="1"/>
  <c r="AJ15" i="5"/>
  <c r="AK15" i="5" s="1"/>
  <c r="AL15" i="5" s="1"/>
  <c r="AA15" i="5"/>
  <c r="BJ14" i="5"/>
  <c r="BK14" i="5" s="1"/>
  <c r="BI14" i="5"/>
  <c r="BA14" i="5"/>
  <c r="AI14" i="5"/>
  <c r="AG19" i="5"/>
  <c r="AA14" i="5"/>
  <c r="A14" i="5"/>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BH8" i="5"/>
  <c r="BI8" i="5" s="1"/>
  <c r="BJ8" i="5" s="1"/>
  <c r="BK8" i="5" s="1"/>
  <c r="BL8" i="5" s="1"/>
  <c r="BM8" i="5" s="1"/>
  <c r="AK8" i="5"/>
  <c r="AL8" i="5" s="1"/>
  <c r="AM8" i="5" s="1"/>
  <c r="AH8" i="5"/>
  <c r="AI8" i="5" s="1"/>
  <c r="AJ8" i="5" s="1"/>
  <c r="H8" i="5"/>
  <c r="I8" i="5" s="1"/>
  <c r="J8" i="5" s="1"/>
  <c r="K8" i="5" s="1"/>
  <c r="L8" i="5" s="1"/>
  <c r="M8" i="5" s="1"/>
  <c r="AH65" i="4"/>
  <c r="L65" i="4"/>
  <c r="AH61" i="4"/>
  <c r="BH56" i="4"/>
  <c r="BH65" i="4" s="1"/>
  <c r="AJ56" i="4"/>
  <c r="BJ56" i="4" s="1"/>
  <c r="BL56" i="4" s="1"/>
  <c r="AH56" i="4"/>
  <c r="L56" i="4"/>
  <c r="N56" i="4" s="1"/>
  <c r="J56" i="4"/>
  <c r="H56" i="4"/>
  <c r="H65" i="4" s="1"/>
  <c r="BP55" i="4"/>
  <c r="BH55" i="4"/>
  <c r="AP55" i="4"/>
  <c r="P55" i="4"/>
  <c r="BH54" i="4"/>
  <c r="AH54" i="4"/>
  <c r="J54" i="4"/>
  <c r="AJ54" i="4" s="1"/>
  <c r="BJ54" i="4" s="1"/>
  <c r="BL54" i="4" s="1"/>
  <c r="BN54" i="4" s="1"/>
  <c r="BN55" i="4" s="1"/>
  <c r="H54" i="4"/>
  <c r="BH53" i="4"/>
  <c r="AH53" i="4"/>
  <c r="AH55" i="4" s="1"/>
  <c r="J53" i="4"/>
  <c r="AJ53" i="4" s="1"/>
  <c r="BJ53" i="4" s="1"/>
  <c r="BL53" i="4" s="1"/>
  <c r="BL55" i="4" s="1"/>
  <c r="H53" i="4"/>
  <c r="H55" i="4" s="1"/>
  <c r="BP51" i="4"/>
  <c r="AP51" i="4"/>
  <c r="P51" i="4"/>
  <c r="H51" i="4"/>
  <c r="BH50" i="4"/>
  <c r="AJ50" i="4"/>
  <c r="BJ50" i="4" s="1"/>
  <c r="AH50" i="4"/>
  <c r="L50" i="4"/>
  <c r="N50" i="4" s="1"/>
  <c r="N51" i="4" s="1"/>
  <c r="J50" i="4"/>
  <c r="H50" i="4"/>
  <c r="BH49" i="4"/>
  <c r="AJ49" i="4"/>
  <c r="BJ49" i="4" s="1"/>
  <c r="BL49" i="4" s="1"/>
  <c r="AH49" i="4"/>
  <c r="J49" i="4"/>
  <c r="L49" i="4" s="1"/>
  <c r="H49" i="4"/>
  <c r="BH48" i="4"/>
  <c r="BH51" i="4" s="1"/>
  <c r="AH48" i="4"/>
  <c r="AH51" i="4" s="1"/>
  <c r="J48" i="4"/>
  <c r="AJ48" i="4" s="1"/>
  <c r="H48" i="4"/>
  <c r="BP46" i="4"/>
  <c r="AP46" i="4"/>
  <c r="P46" i="4"/>
  <c r="BH45" i="4"/>
  <c r="AH45" i="4"/>
  <c r="H45" i="4"/>
  <c r="BH44" i="4"/>
  <c r="AH44" i="4"/>
  <c r="H44" i="4"/>
  <c r="BH43" i="4"/>
  <c r="BH46" i="4" s="1"/>
  <c r="AH43" i="4"/>
  <c r="H43" i="4"/>
  <c r="AH41" i="4"/>
  <c r="BH40" i="4"/>
  <c r="AJ40" i="4"/>
  <c r="BJ40" i="4" s="1"/>
  <c r="BL40" i="4" s="1"/>
  <c r="BN40" i="4" s="1"/>
  <c r="BP40" i="4" s="1"/>
  <c r="AH40" i="4"/>
  <c r="AL40" i="4" s="1"/>
  <c r="AN40" i="4" s="1"/>
  <c r="AP40" i="4" s="1"/>
  <c r="J40" i="4"/>
  <c r="H40" i="4"/>
  <c r="L40" i="4" s="1"/>
  <c r="N40" i="4" s="1"/>
  <c r="P40" i="4" s="1"/>
  <c r="BH39" i="4"/>
  <c r="AH39" i="4"/>
  <c r="J39" i="4"/>
  <c r="AJ39" i="4" s="1"/>
  <c r="H39" i="4"/>
  <c r="BH38" i="4"/>
  <c r="AH38" i="4"/>
  <c r="H38" i="4"/>
  <c r="BJ37" i="4"/>
  <c r="BL37" i="4" s="1"/>
  <c r="BN37" i="4" s="1"/>
  <c r="BH37" i="4"/>
  <c r="AL37" i="4"/>
  <c r="AN37" i="4" s="1"/>
  <c r="AJ37" i="4"/>
  <c r="AH37" i="4"/>
  <c r="L37" i="4"/>
  <c r="N37" i="4" s="1"/>
  <c r="J37" i="4"/>
  <c r="H37" i="4"/>
  <c r="BH36" i="4"/>
  <c r="AH36" i="4"/>
  <c r="H36" i="4"/>
  <c r="BH35" i="4"/>
  <c r="BH41" i="4" s="1"/>
  <c r="AH35" i="4"/>
  <c r="H35" i="4"/>
  <c r="AH33" i="4"/>
  <c r="AH63" i="4" s="1"/>
  <c r="H33" i="4"/>
  <c r="H63" i="4" s="1"/>
  <c r="BH32" i="4"/>
  <c r="BH33" i="4" s="1"/>
  <c r="BH63" i="4" s="1"/>
  <c r="AJ32" i="4"/>
  <c r="BJ32" i="4" s="1"/>
  <c r="BL32" i="4" s="1"/>
  <c r="BN32" i="4" s="1"/>
  <c r="BP32" i="4" s="1"/>
  <c r="BP33" i="4" s="1"/>
  <c r="AH32" i="4"/>
  <c r="L32" i="4"/>
  <c r="N32" i="4" s="1"/>
  <c r="P32" i="4" s="1"/>
  <c r="P33" i="4" s="1"/>
  <c r="J32" i="4"/>
  <c r="H32" i="4"/>
  <c r="BH31" i="4"/>
  <c r="AJ31" i="4"/>
  <c r="BJ31" i="4" s="1"/>
  <c r="AH31" i="4"/>
  <c r="L31" i="4"/>
  <c r="N31" i="4" s="1"/>
  <c r="N33" i="4" s="1"/>
  <c r="J31" i="4"/>
  <c r="H31" i="4"/>
  <c r="BH30" i="4"/>
  <c r="AJ30" i="4"/>
  <c r="BJ30" i="4" s="1"/>
  <c r="BL30" i="4" s="1"/>
  <c r="AH30" i="4"/>
  <c r="J30" i="4"/>
  <c r="L30" i="4" s="1"/>
  <c r="L33" i="4" s="1"/>
  <c r="H30" i="4"/>
  <c r="BH27" i="4"/>
  <c r="AH27" i="4"/>
  <c r="AL27" i="4" s="1"/>
  <c r="AN27" i="4" s="1"/>
  <c r="AP27" i="4" s="1"/>
  <c r="AP28" i="4" s="1"/>
  <c r="J27" i="4"/>
  <c r="AJ27" i="4" s="1"/>
  <c r="BJ27" i="4" s="1"/>
  <c r="BL27" i="4" s="1"/>
  <c r="BN27" i="4" s="1"/>
  <c r="BP27" i="4" s="1"/>
  <c r="BP28" i="4" s="1"/>
  <c r="H27" i="4"/>
  <c r="BH26" i="4"/>
  <c r="AJ26" i="4"/>
  <c r="BJ26" i="4" s="1"/>
  <c r="BL26" i="4" s="1"/>
  <c r="BN26" i="4" s="1"/>
  <c r="AH26" i="4"/>
  <c r="AL26" i="4" s="1"/>
  <c r="AN26" i="4" s="1"/>
  <c r="J26" i="4"/>
  <c r="H26" i="4"/>
  <c r="L26" i="4" s="1"/>
  <c r="N26" i="4" s="1"/>
  <c r="BH25" i="4"/>
  <c r="AH25" i="4"/>
  <c r="J25" i="4"/>
  <c r="AJ25" i="4" s="1"/>
  <c r="H25" i="4"/>
  <c r="L25" i="4" s="1"/>
  <c r="N25" i="4" s="1"/>
  <c r="BH24" i="4"/>
  <c r="AH24" i="4"/>
  <c r="H24" i="4"/>
  <c r="BH23" i="4"/>
  <c r="AH23" i="4"/>
  <c r="H23" i="4"/>
  <c r="H28" i="4" s="1"/>
  <c r="BH21" i="4"/>
  <c r="BH61" i="4" s="1"/>
  <c r="AH21" i="4"/>
  <c r="J21" i="4"/>
  <c r="AJ21" i="4" s="1"/>
  <c r="BJ21" i="4" s="1"/>
  <c r="H21" i="4"/>
  <c r="H61" i="4" s="1"/>
  <c r="AH20" i="4"/>
  <c r="AH60" i="4" s="1"/>
  <c r="BH19" i="4"/>
  <c r="AH19" i="4"/>
  <c r="AL19" i="4" s="1"/>
  <c r="AN19" i="4" s="1"/>
  <c r="AP19" i="4" s="1"/>
  <c r="L19" i="4"/>
  <c r="N19" i="4" s="1"/>
  <c r="P19" i="4" s="1"/>
  <c r="J19" i="4"/>
  <c r="AJ19" i="4" s="1"/>
  <c r="BJ19" i="4" s="1"/>
  <c r="BL19" i="4" s="1"/>
  <c r="BN19" i="4" s="1"/>
  <c r="BP19" i="4" s="1"/>
  <c r="H19" i="4"/>
  <c r="BH18" i="4"/>
  <c r="AJ18" i="4"/>
  <c r="BJ18" i="4" s="1"/>
  <c r="AH18" i="4"/>
  <c r="J18" i="4"/>
  <c r="H18" i="4"/>
  <c r="L18" i="4" s="1"/>
  <c r="N18" i="4" s="1"/>
  <c r="P18" i="4" s="1"/>
  <c r="P20" i="4" s="1"/>
  <c r="BJ17" i="4"/>
  <c r="BL17" i="4" s="1"/>
  <c r="BN17" i="4" s="1"/>
  <c r="BH17" i="4"/>
  <c r="AJ17" i="4"/>
  <c r="AL17" i="4" s="1"/>
  <c r="AN17" i="4" s="1"/>
  <c r="AH17" i="4"/>
  <c r="L17" i="4"/>
  <c r="L20" i="4" s="1"/>
  <c r="J17" i="4"/>
  <c r="J44" i="4" s="1"/>
  <c r="H17" i="4"/>
  <c r="BH16" i="4"/>
  <c r="BH20" i="4" s="1"/>
  <c r="BH60" i="4" s="1"/>
  <c r="BA16" i="4"/>
  <c r="BA17" i="4" s="1"/>
  <c r="BA18" i="4" s="1"/>
  <c r="BA19" i="4" s="1"/>
  <c r="BA20" i="4" s="1"/>
  <c r="BA21" i="4" s="1"/>
  <c r="BA22" i="4" s="1"/>
  <c r="BA23" i="4" s="1"/>
  <c r="BA24" i="4" s="1"/>
  <c r="BA25" i="4" s="1"/>
  <c r="BA26" i="4" s="1"/>
  <c r="BA27" i="4" s="1"/>
  <c r="BA28" i="4" s="1"/>
  <c r="BA29" i="4" s="1"/>
  <c r="BA30" i="4" s="1"/>
  <c r="BA31" i="4" s="1"/>
  <c r="BA32" i="4" s="1"/>
  <c r="BA33" i="4" s="1"/>
  <c r="BA34" i="4" s="1"/>
  <c r="BA35" i="4" s="1"/>
  <c r="BA36" i="4" s="1"/>
  <c r="BA37" i="4" s="1"/>
  <c r="BA38" i="4" s="1"/>
  <c r="BA40" i="4" s="1"/>
  <c r="BA39" i="4" s="1"/>
  <c r="BA41" i="4" s="1"/>
  <c r="BA42" i="4" s="1"/>
  <c r="BA43" i="4" s="1"/>
  <c r="BA44" i="4" s="1"/>
  <c r="BA45" i="4" s="1"/>
  <c r="BA46" i="4" s="1"/>
  <c r="BA47" i="4" s="1"/>
  <c r="BA48" i="4" s="1"/>
  <c r="BA49" i="4" s="1"/>
  <c r="BA50" i="4" s="1"/>
  <c r="BA51" i="4" s="1"/>
  <c r="BA52" i="4" s="1"/>
  <c r="BA53" i="4" s="1"/>
  <c r="BA54" i="4" s="1"/>
  <c r="BA55" i="4" s="1"/>
  <c r="BA56" i="4" s="1"/>
  <c r="BA57" i="4" s="1"/>
  <c r="BA58" i="4" s="1"/>
  <c r="BA59" i="4" s="1"/>
  <c r="BA60" i="4" s="1"/>
  <c r="BA61" i="4" s="1"/>
  <c r="BA62" i="4" s="1"/>
  <c r="BA63" i="4" s="1"/>
  <c r="BA64" i="4" s="1"/>
  <c r="BA65" i="4" s="1"/>
  <c r="BA66" i="4" s="1"/>
  <c r="AH16" i="4"/>
  <c r="AA16" i="4"/>
  <c r="AA17" i="4" s="1"/>
  <c r="AA18" i="4" s="1"/>
  <c r="AA19" i="4" s="1"/>
  <c r="AA20" i="4" s="1"/>
  <c r="AA21" i="4" s="1"/>
  <c r="AA22" i="4" s="1"/>
  <c r="AA23" i="4" s="1"/>
  <c r="AA24" i="4" s="1"/>
  <c r="AA25" i="4" s="1"/>
  <c r="AA26" i="4" s="1"/>
  <c r="AA27" i="4" s="1"/>
  <c r="AA28" i="4" s="1"/>
  <c r="AA29" i="4" s="1"/>
  <c r="AA30" i="4" s="1"/>
  <c r="AA31" i="4" s="1"/>
  <c r="AA32" i="4" s="1"/>
  <c r="AA33" i="4" s="1"/>
  <c r="AA34" i="4" s="1"/>
  <c r="AA35" i="4" s="1"/>
  <c r="AA36" i="4" s="1"/>
  <c r="AA37" i="4" s="1"/>
  <c r="AA38" i="4" s="1"/>
  <c r="AA40" i="4" s="1"/>
  <c r="AA39" i="4" s="1"/>
  <c r="AA41" i="4" s="1"/>
  <c r="AA42" i="4" s="1"/>
  <c r="AA43" i="4" s="1"/>
  <c r="AA44" i="4" s="1"/>
  <c r="AA45" i="4" s="1"/>
  <c r="AA46" i="4" s="1"/>
  <c r="AA47" i="4" s="1"/>
  <c r="AA48" i="4" s="1"/>
  <c r="AA49" i="4" s="1"/>
  <c r="AA50" i="4" s="1"/>
  <c r="AA51" i="4" s="1"/>
  <c r="AA52" i="4" s="1"/>
  <c r="AA53" i="4" s="1"/>
  <c r="AA54" i="4" s="1"/>
  <c r="AA55" i="4" s="1"/>
  <c r="AA56" i="4" s="1"/>
  <c r="AA57" i="4" s="1"/>
  <c r="AA58" i="4" s="1"/>
  <c r="AA59" i="4" s="1"/>
  <c r="AA60" i="4" s="1"/>
  <c r="AA61" i="4" s="1"/>
  <c r="AA62" i="4" s="1"/>
  <c r="AA63" i="4" s="1"/>
  <c r="AA64" i="4" s="1"/>
  <c r="AA65" i="4" s="1"/>
  <c r="AA66" i="4" s="1"/>
  <c r="L16" i="4"/>
  <c r="J16" i="4"/>
  <c r="J35" i="4" s="1"/>
  <c r="H16" i="4"/>
  <c r="A16" i="4"/>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40" i="4" s="1"/>
  <c r="A39"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BA15" i="4"/>
  <c r="AA15" i="4"/>
  <c r="A15" i="4"/>
  <c r="BH14" i="4"/>
  <c r="BL14" i="4" s="1"/>
  <c r="AJ14" i="4"/>
  <c r="BJ14" i="4" s="1"/>
  <c r="AH14" i="4"/>
  <c r="AH59" i="4" s="1"/>
  <c r="L14" i="4"/>
  <c r="L59" i="4" s="1"/>
  <c r="H14" i="4"/>
  <c r="H59" i="4" s="1"/>
  <c r="BM73" i="3"/>
  <c r="BJ73" i="3"/>
  <c r="BI73" i="3"/>
  <c r="BH73" i="3"/>
  <c r="AM73" i="3"/>
  <c r="AJ73" i="3"/>
  <c r="AI73" i="3"/>
  <c r="AH73" i="3"/>
  <c r="M73" i="3"/>
  <c r="J73" i="3"/>
  <c r="I73" i="3"/>
  <c r="H73" i="3"/>
  <c r="J65" i="3"/>
  <c r="AJ64" i="3"/>
  <c r="AI64" i="3"/>
  <c r="M63" i="3"/>
  <c r="BM54" i="3"/>
  <c r="BK54" i="3"/>
  <c r="BJ54" i="3"/>
  <c r="BI54" i="3"/>
  <c r="BH54" i="3"/>
  <c r="AM54" i="3"/>
  <c r="AK54" i="3"/>
  <c r="AJ54" i="3"/>
  <c r="AI54" i="3"/>
  <c r="AH54" i="3"/>
  <c r="M54" i="3"/>
  <c r="K54" i="3"/>
  <c r="J54" i="3"/>
  <c r="I54" i="3"/>
  <c r="H54" i="3"/>
  <c r="BU46" i="3"/>
  <c r="BT46" i="3"/>
  <c r="BL46" i="3" s="1"/>
  <c r="BM46" i="3"/>
  <c r="BK46" i="3"/>
  <c r="BJ46" i="3"/>
  <c r="BI46" i="3"/>
  <c r="BH46" i="3"/>
  <c r="BG46" i="3" s="1"/>
  <c r="BS46" i="3" s="1"/>
  <c r="AU46" i="3"/>
  <c r="AT46" i="3"/>
  <c r="AM46" i="3"/>
  <c r="AK46" i="3"/>
  <c r="AJ46" i="3"/>
  <c r="AI46" i="3"/>
  <c r="AH46" i="3"/>
  <c r="U46" i="3"/>
  <c r="T46" i="3"/>
  <c r="M46" i="3"/>
  <c r="L46" i="3"/>
  <c r="K46" i="3"/>
  <c r="J46" i="3"/>
  <c r="I46" i="3"/>
  <c r="H46" i="3"/>
  <c r="G46" i="3"/>
  <c r="S46" i="3" s="1"/>
  <c r="BU45" i="3"/>
  <c r="BT45" i="3"/>
  <c r="BL45" i="3" s="1"/>
  <c r="BM45" i="3"/>
  <c r="BK45" i="3"/>
  <c r="BJ45" i="3"/>
  <c r="BI45" i="3"/>
  <c r="BH45" i="3"/>
  <c r="BG45" i="3" s="1"/>
  <c r="BS45" i="3" s="1"/>
  <c r="AU45" i="3"/>
  <c r="AT45" i="3"/>
  <c r="AM45" i="3"/>
  <c r="AL45" i="3"/>
  <c r="AK45" i="3"/>
  <c r="AJ45" i="3"/>
  <c r="AI45" i="3"/>
  <c r="AH45" i="3"/>
  <c r="AG45" i="3" s="1"/>
  <c r="AS45" i="3" s="1"/>
  <c r="U45" i="3"/>
  <c r="T45" i="3"/>
  <c r="M45" i="3"/>
  <c r="L45" i="3"/>
  <c r="K45" i="3"/>
  <c r="J45" i="3"/>
  <c r="I45" i="3"/>
  <c r="H45" i="3"/>
  <c r="BL44" i="3"/>
  <c r="AL44" i="3"/>
  <c r="L44" i="3"/>
  <c r="BL43" i="3"/>
  <c r="L43" i="3"/>
  <c r="L42" i="3"/>
  <c r="BS41" i="3"/>
  <c r="AS41" i="3"/>
  <c r="S41" i="3"/>
  <c r="BL40" i="3"/>
  <c r="L40" i="3"/>
  <c r="G40" i="3" s="1"/>
  <c r="BL39" i="3"/>
  <c r="L39" i="3"/>
  <c r="BL38" i="3"/>
  <c r="BG38" i="3"/>
  <c r="BS38" i="3" s="1"/>
  <c r="L38" i="3"/>
  <c r="G38" i="3"/>
  <c r="S38" i="3" s="1"/>
  <c r="BS37" i="3"/>
  <c r="AS37" i="3"/>
  <c r="S37" i="3"/>
  <c r="BL35" i="3"/>
  <c r="AL35" i="3"/>
  <c r="AM52" i="3"/>
  <c r="L35" i="3"/>
  <c r="BK34" i="3"/>
  <c r="BH34" i="3"/>
  <c r="AH34" i="3"/>
  <c r="BL33" i="3"/>
  <c r="BG33" i="3" s="1"/>
  <c r="BS33" i="3" s="1"/>
  <c r="BS28" i="3"/>
  <c r="AS28" i="3"/>
  <c r="S28" i="3"/>
  <c r="BL24" i="3"/>
  <c r="BL22" i="3"/>
  <c r="BM65" i="3"/>
  <c r="BL21" i="3"/>
  <c r="BL72" i="3" s="1"/>
  <c r="AL21" i="3"/>
  <c r="AM65" i="3"/>
  <c r="AK72" i="3"/>
  <c r="M65" i="3"/>
  <c r="BL20" i="3"/>
  <c r="L20" i="3"/>
  <c r="AL19" i="3"/>
  <c r="AA18" i="3"/>
  <c r="AA19" i="3" s="1"/>
  <c r="AA20" i="3" s="1"/>
  <c r="AA21" i="3" s="1"/>
  <c r="AA22" i="3" s="1"/>
  <c r="AA23" i="3" s="1"/>
  <c r="AA24" i="3" s="1"/>
  <c r="AA25" i="3" s="1"/>
  <c r="AA26" i="3" s="1"/>
  <c r="AA27" i="3" s="1"/>
  <c r="AA28" i="3" s="1"/>
  <c r="AA29" i="3" s="1"/>
  <c r="AA30" i="3" s="1"/>
  <c r="AA31" i="3" s="1"/>
  <c r="AA32" i="3" s="1"/>
  <c r="AA33" i="3" s="1"/>
  <c r="AA34" i="3" s="1"/>
  <c r="AA35" i="3" s="1"/>
  <c r="AA36" i="3" s="1"/>
  <c r="AA37" i="3" s="1"/>
  <c r="AA38" i="3" s="1"/>
  <c r="AA39" i="3" s="1"/>
  <c r="AA40" i="3" s="1"/>
  <c r="AA41" i="3" s="1"/>
  <c r="AA42" i="3" s="1"/>
  <c r="AA43" i="3" s="1"/>
  <c r="AA44" i="3" s="1"/>
  <c r="AA45" i="3" s="1"/>
  <c r="AA46" i="3" s="1"/>
  <c r="AA47" i="3" s="1"/>
  <c r="AA48" i="3" s="1"/>
  <c r="AA49" i="3" s="1"/>
  <c r="AA50" i="3" s="1"/>
  <c r="AA51" i="3" s="1"/>
  <c r="AA52" i="3" s="1"/>
  <c r="AA53" i="3" s="1"/>
  <c r="AA54" i="3" s="1"/>
  <c r="AA55" i="3" s="1"/>
  <c r="AA56" i="3" s="1"/>
  <c r="AA57" i="3" s="1"/>
  <c r="AA58" i="3" s="1"/>
  <c r="AA59" i="3" s="1"/>
  <c r="AA60" i="3" s="1"/>
  <c r="AA61" i="3" s="1"/>
  <c r="AA62" i="3" s="1"/>
  <c r="AA63" i="3" s="1"/>
  <c r="AA64" i="3" s="1"/>
  <c r="AA65" i="3" s="1"/>
  <c r="AA66" i="3" s="1"/>
  <c r="AA67" i="3" s="1"/>
  <c r="AA68" i="3" s="1"/>
  <c r="AA69" i="3" s="1"/>
  <c r="AA70" i="3" s="1"/>
  <c r="AA71" i="3" s="1"/>
  <c r="AA72" i="3" s="1"/>
  <c r="AA73" i="3" s="1"/>
  <c r="J63" i="3"/>
  <c r="A15" i="3"/>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BA14" i="3"/>
  <c r="BA15" i="3" s="1"/>
  <c r="BA16" i="3" s="1"/>
  <c r="BA17" i="3" s="1"/>
  <c r="BA18" i="3" s="1"/>
  <c r="BA19" i="3" s="1"/>
  <c r="BA20" i="3" s="1"/>
  <c r="BA21" i="3" s="1"/>
  <c r="BA22" i="3" s="1"/>
  <c r="BA23" i="3" s="1"/>
  <c r="BA24" i="3" s="1"/>
  <c r="BA25" i="3" s="1"/>
  <c r="BA26" i="3" s="1"/>
  <c r="BA27" i="3" s="1"/>
  <c r="BA28" i="3" s="1"/>
  <c r="BA29" i="3" s="1"/>
  <c r="BA30" i="3" s="1"/>
  <c r="BA31" i="3" s="1"/>
  <c r="BA32" i="3" s="1"/>
  <c r="BA33" i="3" s="1"/>
  <c r="BA34" i="3" s="1"/>
  <c r="BA35" i="3" s="1"/>
  <c r="BA36" i="3" s="1"/>
  <c r="BA37" i="3" s="1"/>
  <c r="BA38" i="3" s="1"/>
  <c r="BA39" i="3" s="1"/>
  <c r="BA40" i="3" s="1"/>
  <c r="BA41" i="3" s="1"/>
  <c r="BA42" i="3" s="1"/>
  <c r="BA43" i="3" s="1"/>
  <c r="BA44" i="3" s="1"/>
  <c r="BA45" i="3" s="1"/>
  <c r="BA46" i="3" s="1"/>
  <c r="BA47" i="3" s="1"/>
  <c r="BA48" i="3" s="1"/>
  <c r="BA49" i="3" s="1"/>
  <c r="BA50" i="3" s="1"/>
  <c r="BA51" i="3" s="1"/>
  <c r="BA52" i="3" s="1"/>
  <c r="BA53" i="3" s="1"/>
  <c r="BA54" i="3" s="1"/>
  <c r="BA55" i="3" s="1"/>
  <c r="BA56" i="3" s="1"/>
  <c r="BA57" i="3" s="1"/>
  <c r="BA58" i="3" s="1"/>
  <c r="BA59" i="3" s="1"/>
  <c r="BA60" i="3" s="1"/>
  <c r="BA61" i="3" s="1"/>
  <c r="BA62" i="3" s="1"/>
  <c r="BA63" i="3" s="1"/>
  <c r="BA64" i="3" s="1"/>
  <c r="BA65" i="3" s="1"/>
  <c r="BA66" i="3" s="1"/>
  <c r="BA67" i="3" s="1"/>
  <c r="BA68" i="3" s="1"/>
  <c r="BA69" i="3" s="1"/>
  <c r="BA70" i="3" s="1"/>
  <c r="BA71" i="3" s="1"/>
  <c r="BA72" i="3" s="1"/>
  <c r="BA73" i="3" s="1"/>
  <c r="AA14" i="3"/>
  <c r="AA15" i="3" s="1"/>
  <c r="AA16" i="3" s="1"/>
  <c r="AA17" i="3" s="1"/>
  <c r="A14" i="3"/>
  <c r="BI9" i="3"/>
  <c r="BJ9" i="3" s="1"/>
  <c r="BK9" i="3" s="1"/>
  <c r="BL9" i="3" s="1"/>
  <c r="BM9" i="3" s="1"/>
  <c r="BN9" i="3" s="1"/>
  <c r="BO9" i="3" s="1"/>
  <c r="BH9" i="3"/>
  <c r="AH9" i="3"/>
  <c r="AI9" i="3" s="1"/>
  <c r="AJ9" i="3" s="1"/>
  <c r="AK9" i="3" s="1"/>
  <c r="AL9" i="3" s="1"/>
  <c r="AM9" i="3" s="1"/>
  <c r="AN9" i="3" s="1"/>
  <c r="AO9" i="3" s="1"/>
  <c r="I9" i="3"/>
  <c r="J9" i="3" s="1"/>
  <c r="K9" i="3" s="1"/>
  <c r="L9" i="3" s="1"/>
  <c r="M9" i="3" s="1"/>
  <c r="N9" i="3" s="1"/>
  <c r="O9" i="3" s="1"/>
  <c r="H9" i="3"/>
  <c r="BU47" i="2"/>
  <c r="BT47" i="2"/>
  <c r="BM47" i="2"/>
  <c r="BL47" i="2"/>
  <c r="BK47" i="2"/>
  <c r="BJ47" i="2"/>
  <c r="BI47" i="2"/>
  <c r="BH47" i="2"/>
  <c r="BC47" i="2"/>
  <c r="AU47" i="2"/>
  <c r="AT47" i="2"/>
  <c r="AM47" i="2"/>
  <c r="AL47" i="2"/>
  <c r="AK47" i="2"/>
  <c r="AJ47" i="2"/>
  <c r="AI47" i="2"/>
  <c r="AC47" i="2"/>
  <c r="U47" i="2"/>
  <c r="T47" i="2"/>
  <c r="M47" i="2"/>
  <c r="L47" i="2"/>
  <c r="K47" i="2"/>
  <c r="J47" i="2"/>
  <c r="I47" i="2"/>
  <c r="H47" i="2"/>
  <c r="C47" i="2"/>
  <c r="M38" i="2"/>
  <c r="H38" i="2"/>
  <c r="BU27" i="2"/>
  <c r="BO27" i="2"/>
  <c r="BN27" i="2"/>
  <c r="BM27" i="2"/>
  <c r="BK27" i="2"/>
  <c r="AU27" i="2"/>
  <c r="AT27" i="2"/>
  <c r="AO27" i="2"/>
  <c r="AN27" i="2"/>
  <c r="AM27" i="2"/>
  <c r="AK27" i="2"/>
  <c r="AJ27" i="2"/>
  <c r="U27" i="2"/>
  <c r="O27" i="2"/>
  <c r="N27" i="2"/>
  <c r="M27" i="2"/>
  <c r="J27" i="2"/>
  <c r="BU26" i="2"/>
  <c r="BO26" i="2"/>
  <c r="BN26" i="2"/>
  <c r="BM26" i="2"/>
  <c r="BK26" i="2"/>
  <c r="BJ26" i="2"/>
  <c r="BI26" i="2"/>
  <c r="BH26" i="2"/>
  <c r="AU26" i="2"/>
  <c r="AT26" i="2"/>
  <c r="AO26" i="2"/>
  <c r="AN26" i="2"/>
  <c r="AM26" i="2"/>
  <c r="AK26" i="2"/>
  <c r="AJ26" i="2"/>
  <c r="AI26" i="2"/>
  <c r="O26" i="2"/>
  <c r="N26" i="2"/>
  <c r="M26" i="2"/>
  <c r="J26" i="2"/>
  <c r="BU25" i="2"/>
  <c r="BO25" i="2"/>
  <c r="BN25" i="2"/>
  <c r="BM25" i="2"/>
  <c r="BK25" i="2"/>
  <c r="BJ25" i="2"/>
  <c r="AU25" i="2"/>
  <c r="AO25" i="2"/>
  <c r="AN25" i="2"/>
  <c r="AM25" i="2"/>
  <c r="AK25" i="2"/>
  <c r="AJ25" i="2"/>
  <c r="U25" i="2"/>
  <c r="T25" i="2"/>
  <c r="O25" i="2"/>
  <c r="N25" i="2"/>
  <c r="M25" i="2"/>
  <c r="K25" i="2"/>
  <c r="J25" i="2"/>
  <c r="BU24" i="2"/>
  <c r="BO24" i="2"/>
  <c r="BN24" i="2"/>
  <c r="BM24" i="2"/>
  <c r="BK24" i="2"/>
  <c r="BJ24" i="2"/>
  <c r="BI24" i="2"/>
  <c r="AU24" i="2"/>
  <c r="AT24" i="2"/>
  <c r="AO24" i="2"/>
  <c r="AN24" i="2"/>
  <c r="AM24" i="2"/>
  <c r="AK24" i="2"/>
  <c r="AJ24" i="2"/>
  <c r="AI24" i="2"/>
  <c r="AH24" i="2"/>
  <c r="O24" i="2"/>
  <c r="N24" i="2"/>
  <c r="M24" i="2"/>
  <c r="J24" i="2"/>
  <c r="BU23" i="2"/>
  <c r="BO23" i="2"/>
  <c r="BN23" i="2"/>
  <c r="BM23" i="2"/>
  <c r="BL23" i="2"/>
  <c r="BK23" i="2"/>
  <c r="BJ23" i="2"/>
  <c r="AU23" i="2"/>
  <c r="AT23" i="2"/>
  <c r="AO23" i="2"/>
  <c r="AN23" i="2"/>
  <c r="AM23" i="2"/>
  <c r="AK23" i="2"/>
  <c r="AJ23" i="2"/>
  <c r="U23" i="2"/>
  <c r="T23" i="2"/>
  <c r="O23" i="2"/>
  <c r="N23" i="2"/>
  <c r="M23" i="2"/>
  <c r="J23" i="2"/>
  <c r="BU22" i="2"/>
  <c r="BO22" i="2"/>
  <c r="BN22" i="2"/>
  <c r="BM22" i="2"/>
  <c r="BK22" i="2"/>
  <c r="BJ22" i="2"/>
  <c r="AU22" i="2"/>
  <c r="AO22" i="2"/>
  <c r="AN22" i="2"/>
  <c r="AM22" i="2"/>
  <c r="AK22" i="2"/>
  <c r="AJ22" i="2"/>
  <c r="O22" i="2"/>
  <c r="N22" i="2"/>
  <c r="M22" i="2"/>
  <c r="J22" i="2"/>
  <c r="BU21" i="2"/>
  <c r="BT21" i="2"/>
  <c r="BO21" i="2"/>
  <c r="BN21" i="2"/>
  <c r="BM21" i="2"/>
  <c r="BK21" i="2"/>
  <c r="BJ21" i="2"/>
  <c r="AU21" i="2"/>
  <c r="AO21" i="2"/>
  <c r="AN21" i="2"/>
  <c r="AM21" i="2"/>
  <c r="AK21" i="2"/>
  <c r="AJ21" i="2"/>
  <c r="U21" i="2"/>
  <c r="O21" i="2"/>
  <c r="N21" i="2"/>
  <c r="M21" i="2"/>
  <c r="J21" i="2"/>
  <c r="BU20" i="2"/>
  <c r="BO20" i="2"/>
  <c r="BN20" i="2"/>
  <c r="BM20" i="2"/>
  <c r="BK20" i="2"/>
  <c r="BJ20" i="2"/>
  <c r="AU20" i="2"/>
  <c r="AO20" i="2"/>
  <c r="AN20" i="2"/>
  <c r="AM20" i="2"/>
  <c r="AK20" i="2"/>
  <c r="AJ20" i="2"/>
  <c r="O20" i="2"/>
  <c r="N20" i="2"/>
  <c r="M20" i="2"/>
  <c r="J20" i="2"/>
  <c r="BU19" i="2"/>
  <c r="BO19" i="2"/>
  <c r="BN19" i="2"/>
  <c r="BM19" i="2"/>
  <c r="BK19" i="2"/>
  <c r="BJ19" i="2"/>
  <c r="AU19" i="2"/>
  <c r="AO19" i="2"/>
  <c r="AN19" i="2"/>
  <c r="AM19" i="2"/>
  <c r="AK19" i="2"/>
  <c r="AJ19" i="2"/>
  <c r="U19" i="2"/>
  <c r="T19" i="2"/>
  <c r="O19" i="2"/>
  <c r="N19" i="2"/>
  <c r="M19" i="2"/>
  <c r="K19" i="2"/>
  <c r="J19" i="2"/>
  <c r="BU18" i="2"/>
  <c r="BO18" i="2"/>
  <c r="BN18" i="2"/>
  <c r="BM18" i="2"/>
  <c r="BK18" i="2"/>
  <c r="BJ18" i="2"/>
  <c r="AU18" i="2"/>
  <c r="AT18" i="2"/>
  <c r="AO18" i="2"/>
  <c r="AN18" i="2"/>
  <c r="AM18" i="2"/>
  <c r="AK18" i="2"/>
  <c r="AJ18" i="2"/>
  <c r="U18" i="2"/>
  <c r="O18" i="2"/>
  <c r="N18" i="2"/>
  <c r="M18" i="2"/>
  <c r="J18" i="2"/>
  <c r="BU17" i="2"/>
  <c r="BO17" i="2"/>
  <c r="BN17" i="2"/>
  <c r="BM17" i="2"/>
  <c r="BK17" i="2"/>
  <c r="BJ17" i="2"/>
  <c r="AU17" i="2"/>
  <c r="AO17" i="2"/>
  <c r="AN17" i="2"/>
  <c r="AM17" i="2"/>
  <c r="AK17" i="2"/>
  <c r="AJ17" i="2"/>
  <c r="U17" i="2"/>
  <c r="T17" i="2"/>
  <c r="O17" i="2"/>
  <c r="N17" i="2"/>
  <c r="M17" i="2"/>
  <c r="J17" i="2"/>
  <c r="I17" i="2"/>
  <c r="BA8" i="2"/>
  <c r="AA8" i="2"/>
  <c r="A8" i="2"/>
  <c r="BM7" i="2"/>
  <c r="AM7" i="2"/>
  <c r="M7" i="2"/>
  <c r="BM6" i="2"/>
  <c r="AM6" i="2"/>
  <c r="M6" i="2"/>
  <c r="BO3" i="2"/>
  <c r="AO3" i="2"/>
  <c r="O3" i="2"/>
  <c r="BA2" i="2"/>
  <c r="AA2" i="2"/>
  <c r="A2" i="2"/>
  <c r="BM63" i="3" l="1"/>
  <c r="BL20" i="2"/>
  <c r="BL24" i="2"/>
  <c r="BL18" i="2"/>
  <c r="BT22" i="2"/>
  <c r="BL17" i="2"/>
  <c r="BL25" i="2"/>
  <c r="BL19" i="2"/>
  <c r="BL27" i="2"/>
  <c r="BL26" i="2"/>
  <c r="L17" i="3"/>
  <c r="L58" i="3" s="1"/>
  <c r="L59" i="3" s="1"/>
  <c r="AT58" i="3"/>
  <c r="AT59" i="3" s="1"/>
  <c r="AL22" i="3"/>
  <c r="AL25" i="3"/>
  <c r="AS25" i="3" s="1"/>
  <c r="AT54" i="3"/>
  <c r="AJ16" i="3"/>
  <c r="AJ89" i="3" s="1"/>
  <c r="AM16" i="3"/>
  <c r="AM89" i="3" s="1"/>
  <c r="AK16" i="3"/>
  <c r="AK29" i="3" s="1"/>
  <c r="AG29" i="3"/>
  <c r="AG14" i="3"/>
  <c r="AU14" i="3" s="1"/>
  <c r="AU68" i="3" s="1"/>
  <c r="AN16" i="3"/>
  <c r="AN89" i="3" s="1"/>
  <c r="AI52" i="3"/>
  <c r="AS27" i="3"/>
  <c r="AL16" i="3"/>
  <c r="AS23" i="3"/>
  <c r="AU16" i="3"/>
  <c r="AU15" i="3" s="1"/>
  <c r="AL18" i="3"/>
  <c r="AL29" i="3" s="1"/>
  <c r="AS19" i="3"/>
  <c r="AU53" i="3"/>
  <c r="AM58" i="3"/>
  <c r="AM59" i="3" s="1"/>
  <c r="AJ65" i="3"/>
  <c r="AT16" i="3"/>
  <c r="AT29" i="3" s="1"/>
  <c r="AH52" i="3"/>
  <c r="AK65" i="3"/>
  <c r="AU63" i="3"/>
  <c r="AJ52" i="3"/>
  <c r="K72" i="3"/>
  <c r="K65" i="3"/>
  <c r="U16" i="3"/>
  <c r="U89" i="3" s="1"/>
  <c r="S20" i="3"/>
  <c r="N16" i="3"/>
  <c r="K70" i="3"/>
  <c r="T16" i="3"/>
  <c r="K52" i="3"/>
  <c r="S24" i="3"/>
  <c r="K53" i="3"/>
  <c r="G29" i="3"/>
  <c r="BS24" i="3"/>
  <c r="BH53" i="3"/>
  <c r="BK16" i="3"/>
  <c r="BK29" i="3" s="1"/>
  <c r="BI16" i="3"/>
  <c r="BT64" i="3"/>
  <c r="BH63" i="3"/>
  <c r="BI63" i="3"/>
  <c r="BS23" i="3"/>
  <c r="BL19" i="3"/>
  <c r="BL64" i="3" s="1"/>
  <c r="BT52" i="3"/>
  <c r="AS22" i="3"/>
  <c r="S25" i="3"/>
  <c r="BS27" i="3"/>
  <c r="AU58" i="3"/>
  <c r="AU59" i="3" s="1"/>
  <c r="AG40" i="3"/>
  <c r="AS40" i="3" s="1"/>
  <c r="AT71" i="3"/>
  <c r="L23" i="3"/>
  <c r="L52" i="3" s="1"/>
  <c r="BU70" i="3"/>
  <c r="M16" i="3"/>
  <c r="M89" i="3" s="1"/>
  <c r="BG15" i="3"/>
  <c r="BL17" i="3"/>
  <c r="BL58" i="3" s="1"/>
  <c r="BL59" i="3" s="1"/>
  <c r="BG40" i="3"/>
  <c r="BS40" i="3" s="1"/>
  <c r="BL52" i="3"/>
  <c r="L47" i="3"/>
  <c r="L16" i="3" s="1"/>
  <c r="L89" i="3" s="1"/>
  <c r="T54" i="3"/>
  <c r="AS24" i="3"/>
  <c r="AT63" i="3"/>
  <c r="AL38" i="3"/>
  <c r="AL58" i="3" s="1"/>
  <c r="AL59" i="3" s="1"/>
  <c r="H52" i="3"/>
  <c r="T58" i="3"/>
  <c r="T59" i="3" s="1"/>
  <c r="BJ52" i="3"/>
  <c r="AM63" i="3"/>
  <c r="AL52" i="3"/>
  <c r="M18" i="5"/>
  <c r="M19" i="5" s="1"/>
  <c r="M71" i="5" s="1"/>
  <c r="K18" i="5"/>
  <c r="L18" i="5" s="1"/>
  <c r="I53" i="3"/>
  <c r="I34" i="3"/>
  <c r="BI34" i="3"/>
  <c r="BI53" i="3"/>
  <c r="BG32" i="3"/>
  <c r="BG34" i="3" s="1"/>
  <c r="L54" i="3"/>
  <c r="G36" i="3"/>
  <c r="S36" i="3" s="1"/>
  <c r="AG36" i="3"/>
  <c r="AS36" i="3" s="1"/>
  <c r="K34" i="3"/>
  <c r="J15" i="5"/>
  <c r="K15" i="5" s="1"/>
  <c r="L15" i="5" s="1"/>
  <c r="G33" i="3"/>
  <c r="S33" i="3" s="1"/>
  <c r="BG33" i="5"/>
  <c r="L62" i="5"/>
  <c r="J68" i="5"/>
  <c r="L68" i="5" s="1"/>
  <c r="T32" i="3"/>
  <c r="T34" i="3" s="1"/>
  <c r="BK55" i="3"/>
  <c r="BK24" i="5"/>
  <c r="G45" i="5"/>
  <c r="G71" i="5" s="1"/>
  <c r="BL33" i="5"/>
  <c r="AG33" i="5"/>
  <c r="BH52" i="3"/>
  <c r="BJ32" i="5"/>
  <c r="AI32" i="3"/>
  <c r="AL33" i="3"/>
  <c r="BJ15" i="5"/>
  <c r="BK15" i="5" s="1"/>
  <c r="BL15" i="5" s="1"/>
  <c r="AG35" i="3"/>
  <c r="AS35" i="3" s="1"/>
  <c r="J53" i="3"/>
  <c r="BL24" i="5"/>
  <c r="BJ53" i="3"/>
  <c r="G35" i="3"/>
  <c r="S35" i="3" s="1"/>
  <c r="BJ31" i="5"/>
  <c r="AM18" i="5"/>
  <c r="AK18" i="5"/>
  <c r="AL18" i="5" s="1"/>
  <c r="AL19" i="5" s="1"/>
  <c r="BK31" i="5"/>
  <c r="BL31" i="5" s="1"/>
  <c r="BM31" i="5"/>
  <c r="BM33" i="5" s="1"/>
  <c r="BM73" i="5" s="1"/>
  <c r="BU44" i="2" s="1"/>
  <c r="AM17" i="5"/>
  <c r="AK17" i="5"/>
  <c r="AL17" i="5" s="1"/>
  <c r="BM32" i="5"/>
  <c r="BK32" i="5"/>
  <c r="BL32" i="5" s="1"/>
  <c r="AL62" i="5"/>
  <c r="AL69" i="5" s="1"/>
  <c r="AK62" i="5"/>
  <c r="K17" i="5"/>
  <c r="L17" i="5" s="1"/>
  <c r="AG57" i="5"/>
  <c r="AG69" i="5"/>
  <c r="AL66" i="5"/>
  <c r="AJ31" i="5"/>
  <c r="AK54" i="5"/>
  <c r="M23" i="5"/>
  <c r="M24" i="5" s="1"/>
  <c r="M72" i="5" s="1"/>
  <c r="T44" i="2" s="1"/>
  <c r="K23" i="5"/>
  <c r="L23" i="5" s="1"/>
  <c r="L24" i="5" s="1"/>
  <c r="AJ40" i="5"/>
  <c r="AK40" i="5" s="1"/>
  <c r="BJ42" i="5"/>
  <c r="AJ48" i="5"/>
  <c r="AK48" i="5" s="1"/>
  <c r="BL54" i="5"/>
  <c r="BK54" i="5"/>
  <c r="BL66" i="5"/>
  <c r="BK66" i="5"/>
  <c r="BM17" i="5"/>
  <c r="BK17" i="5"/>
  <c r="BL17" i="5" s="1"/>
  <c r="AJ23" i="5"/>
  <c r="AJ21" i="5"/>
  <c r="AK21" i="5" s="1"/>
  <c r="AG24" i="5"/>
  <c r="AJ50" i="5"/>
  <c r="BJ40" i="5"/>
  <c r="BK40" i="5" s="1"/>
  <c r="M32" i="5"/>
  <c r="K32" i="5"/>
  <c r="L32" i="5" s="1"/>
  <c r="BJ36" i="5"/>
  <c r="BK36" i="5" s="1"/>
  <c r="AI49" i="5"/>
  <c r="J49" i="5"/>
  <c r="K49" i="5" s="1"/>
  <c r="L50" i="5"/>
  <c r="L57" i="5" s="1"/>
  <c r="K50" i="5"/>
  <c r="BI61" i="5"/>
  <c r="BJ61" i="5" s="1"/>
  <c r="BK61" i="5" s="1"/>
  <c r="AJ61" i="5"/>
  <c r="AK61" i="5" s="1"/>
  <c r="AK69" i="5" s="1"/>
  <c r="AJ32" i="5"/>
  <c r="BI37" i="5"/>
  <c r="BJ37" i="5" s="1"/>
  <c r="BK37" i="5" s="1"/>
  <c r="AJ37" i="5"/>
  <c r="AK37" i="5" s="1"/>
  <c r="AJ53" i="5"/>
  <c r="AK53" i="5" s="1"/>
  <c r="BI53" i="5"/>
  <c r="AJ68" i="5"/>
  <c r="AL68" i="5" s="1"/>
  <c r="BI68" i="5"/>
  <c r="BM23" i="5"/>
  <c r="BM24" i="5" s="1"/>
  <c r="BM72" i="5" s="1"/>
  <c r="BT44" i="2" s="1"/>
  <c r="BJ44" i="5"/>
  <c r="BL44" i="5" s="1"/>
  <c r="BJ53" i="5"/>
  <c r="BK53" i="5" s="1"/>
  <c r="BJ68" i="5"/>
  <c r="BL68" i="5" s="1"/>
  <c r="BL50" i="5"/>
  <c r="BK50" i="5"/>
  <c r="BJ41" i="5"/>
  <c r="BK41" i="5" s="1"/>
  <c r="J38" i="5"/>
  <c r="K42" i="5"/>
  <c r="L42" i="5"/>
  <c r="BJ62" i="5"/>
  <c r="J26" i="5"/>
  <c r="K26" i="5" s="1"/>
  <c r="K33" i="5" s="1"/>
  <c r="G33" i="5"/>
  <c r="BM18" i="5"/>
  <c r="BK18" i="5"/>
  <c r="BL18" i="5" s="1"/>
  <c r="AJ38" i="5"/>
  <c r="BG73" i="5"/>
  <c r="BJ38" i="5"/>
  <c r="M31" i="5"/>
  <c r="M33" i="5" s="1"/>
  <c r="M73" i="5" s="1"/>
  <c r="U44" i="2" s="1"/>
  <c r="K31" i="5"/>
  <c r="L31" i="5" s="1"/>
  <c r="L33" i="5" s="1"/>
  <c r="J40" i="5"/>
  <c r="K40" i="5" s="1"/>
  <c r="AJ42" i="5"/>
  <c r="J61" i="5"/>
  <c r="K61" i="5" s="1"/>
  <c r="J14" i="5"/>
  <c r="K14" i="5" s="1"/>
  <c r="G57" i="5"/>
  <c r="AJ26" i="5"/>
  <c r="AK26" i="5" s="1"/>
  <c r="G69" i="5"/>
  <c r="G72" i="5" s="1"/>
  <c r="AJ14" i="5"/>
  <c r="AK14" i="5" s="1"/>
  <c r="K54" i="5"/>
  <c r="J66" i="5"/>
  <c r="AG45" i="5"/>
  <c r="AG71" i="5" s="1"/>
  <c r="BG45" i="5"/>
  <c r="BG71" i="5" s="1"/>
  <c r="BG74" i="5" s="1"/>
  <c r="AP62" i="4"/>
  <c r="AK40" i="2"/>
  <c r="AL21" i="4"/>
  <c r="BJ48" i="4"/>
  <c r="BL48" i="4" s="1"/>
  <c r="BL51" i="4" s="1"/>
  <c r="AL48" i="4"/>
  <c r="AJ44" i="4"/>
  <c r="L44" i="4"/>
  <c r="L60" i="4"/>
  <c r="I38" i="2"/>
  <c r="BH64" i="4"/>
  <c r="L24" i="4"/>
  <c r="H62" i="4"/>
  <c r="BN20" i="4"/>
  <c r="AL24" i="4"/>
  <c r="AH64" i="4"/>
  <c r="P60" i="4"/>
  <c r="I40" i="2"/>
  <c r="BL24" i="4"/>
  <c r="AL54" i="4"/>
  <c r="AN54" i="4" s="1"/>
  <c r="AN55" i="4" s="1"/>
  <c r="BL59" i="4"/>
  <c r="BH38" i="2"/>
  <c r="BN14" i="4"/>
  <c r="N28" i="4"/>
  <c r="AL25" i="4"/>
  <c r="AN25" i="4" s="1"/>
  <c r="AN28" i="4" s="1"/>
  <c r="BJ25" i="4"/>
  <c r="BL25" i="4" s="1"/>
  <c r="BN25" i="4" s="1"/>
  <c r="BN28" i="4" s="1"/>
  <c r="M39" i="2"/>
  <c r="N65" i="4"/>
  <c r="P56" i="4"/>
  <c r="L45" i="4"/>
  <c r="N45" i="4" s="1"/>
  <c r="N46" i="4" s="1"/>
  <c r="BL50" i="4"/>
  <c r="BN50" i="4" s="1"/>
  <c r="BN51" i="4" s="1"/>
  <c r="AJ35" i="4"/>
  <c r="L35" i="4"/>
  <c r="T40" i="2"/>
  <c r="P63" i="4"/>
  <c r="L38" i="4"/>
  <c r="N38" i="4" s="1"/>
  <c r="BL65" i="4"/>
  <c r="BN56" i="4"/>
  <c r="BM38" i="2"/>
  <c r="BL18" i="4"/>
  <c r="BN18" i="4" s="1"/>
  <c r="BP18" i="4" s="1"/>
  <c r="BP20" i="4" s="1"/>
  <c r="BL31" i="4"/>
  <c r="BN31" i="4" s="1"/>
  <c r="BN33" i="4" s="1"/>
  <c r="BT40" i="2"/>
  <c r="BP63" i="4"/>
  <c r="BP62" i="4"/>
  <c r="BK40" i="2"/>
  <c r="BJ39" i="4"/>
  <c r="BL39" i="4" s="1"/>
  <c r="BN39" i="4" s="1"/>
  <c r="BP39" i="4" s="1"/>
  <c r="BP41" i="4" s="1"/>
  <c r="AL39" i="4"/>
  <c r="AN39" i="4" s="1"/>
  <c r="AP39" i="4" s="1"/>
  <c r="AP41" i="4" s="1"/>
  <c r="N17" i="4"/>
  <c r="N20" i="4" s="1"/>
  <c r="L27" i="4"/>
  <c r="N27" i="4" s="1"/>
  <c r="P27" i="4" s="1"/>
  <c r="P28" i="4" s="1"/>
  <c r="AH28" i="4"/>
  <c r="AH62" i="4" s="1"/>
  <c r="AH66" i="4" s="1"/>
  <c r="L53" i="4"/>
  <c r="AL18" i="4"/>
  <c r="AN18" i="4" s="1"/>
  <c r="AP18" i="4" s="1"/>
  <c r="AP20" i="4" s="1"/>
  <c r="AL30" i="4"/>
  <c r="AL49" i="4"/>
  <c r="L21" i="4"/>
  <c r="J23" i="4"/>
  <c r="AJ23" i="4" s="1"/>
  <c r="BJ23" i="4" s="1"/>
  <c r="BL23" i="4" s="1"/>
  <c r="BL28" i="4" s="1"/>
  <c r="AL53" i="4"/>
  <c r="H46" i="4"/>
  <c r="L23" i="4"/>
  <c r="L28" i="4" s="1"/>
  <c r="BH28" i="4"/>
  <c r="BH62" i="4" s="1"/>
  <c r="J43" i="4"/>
  <c r="L48" i="4"/>
  <c r="L51" i="4" s="1"/>
  <c r="H41" i="4"/>
  <c r="H64" i="4" s="1"/>
  <c r="BH59" i="4"/>
  <c r="H20" i="4"/>
  <c r="N14" i="4"/>
  <c r="AH46" i="4"/>
  <c r="AL56" i="4"/>
  <c r="AJ16" i="4"/>
  <c r="BJ16" i="4" s="1"/>
  <c r="BL16" i="4" s="1"/>
  <c r="BL20" i="4" s="1"/>
  <c r="J36" i="4"/>
  <c r="AJ36" i="4" s="1"/>
  <c r="J45" i="4"/>
  <c r="AJ45" i="4" s="1"/>
  <c r="AL32" i="4"/>
  <c r="AN32" i="4" s="1"/>
  <c r="AP32" i="4" s="1"/>
  <c r="AP33" i="4" s="1"/>
  <c r="AL14" i="4"/>
  <c r="AL31" i="4"/>
  <c r="AN31" i="4" s="1"/>
  <c r="AN33" i="4" s="1"/>
  <c r="L39" i="4"/>
  <c r="N39" i="4" s="1"/>
  <c r="P39" i="4" s="1"/>
  <c r="P41" i="4" s="1"/>
  <c r="AL50" i="4"/>
  <c r="AN50" i="4" s="1"/>
  <c r="AN51" i="4" s="1"/>
  <c r="L54" i="4"/>
  <c r="N54" i="4" s="1"/>
  <c r="N55" i="4" s="1"/>
  <c r="T39" i="2" s="1"/>
  <c r="BL21" i="4"/>
  <c r="J24" i="4"/>
  <c r="AJ24" i="4" s="1"/>
  <c r="BJ24" i="4" s="1"/>
  <c r="J38" i="4"/>
  <c r="AJ38" i="4" s="1"/>
  <c r="M53" i="3"/>
  <c r="M34" i="3"/>
  <c r="BI89" i="3"/>
  <c r="BI29" i="3"/>
  <c r="BK89" i="3"/>
  <c r="AT53" i="3"/>
  <c r="AT34" i="3"/>
  <c r="AL32" i="3"/>
  <c r="AL53" i="3" s="1"/>
  <c r="AL71" i="3"/>
  <c r="L65" i="3"/>
  <c r="L72" i="3"/>
  <c r="BH55" i="3"/>
  <c r="U65" i="3"/>
  <c r="BI55" i="3"/>
  <c r="AL39" i="3"/>
  <c r="AG39" i="3" s="1"/>
  <c r="AS39" i="3" s="1"/>
  <c r="BT54" i="3"/>
  <c r="BL25" i="3"/>
  <c r="AK64" i="3"/>
  <c r="AK71" i="3"/>
  <c r="AL89" i="3"/>
  <c r="U71" i="3"/>
  <c r="T29" i="3"/>
  <c r="BM34" i="3"/>
  <c r="BM53" i="3"/>
  <c r="BT34" i="3"/>
  <c r="BL32" i="3"/>
  <c r="BL53" i="3" s="1"/>
  <c r="BT53" i="3"/>
  <c r="AS21" i="3"/>
  <c r="S17" i="3"/>
  <c r="AJ63" i="3"/>
  <c r="AS18" i="3"/>
  <c r="AU64" i="3"/>
  <c r="S22" i="3"/>
  <c r="BU34" i="3"/>
  <c r="BU53" i="3"/>
  <c r="AJ53" i="3"/>
  <c r="AJ34" i="3"/>
  <c r="AK70" i="3"/>
  <c r="AK63" i="3"/>
  <c r="H55" i="3"/>
  <c r="AT52" i="3"/>
  <c r="BU63" i="3"/>
  <c r="T70" i="3"/>
  <c r="L18" i="3"/>
  <c r="T63" i="3"/>
  <c r="J64" i="3"/>
  <c r="BS22" i="3"/>
  <c r="I55" i="3"/>
  <c r="N89" i="3"/>
  <c r="N29" i="3"/>
  <c r="AS26" i="3"/>
  <c r="G39" i="3"/>
  <c r="S39" i="3" s="1"/>
  <c r="BL65" i="3"/>
  <c r="BL18" i="3"/>
  <c r="BT70" i="3"/>
  <c r="G47" i="3"/>
  <c r="S47" i="3" s="1"/>
  <c r="BL26" i="3"/>
  <c r="BS26" i="3" s="1"/>
  <c r="BN16" i="3"/>
  <c r="BM16" i="3"/>
  <c r="BJ16" i="3"/>
  <c r="BG29" i="3"/>
  <c r="BU16" i="3"/>
  <c r="AI58" i="3"/>
  <c r="AI59" i="3" s="1"/>
  <c r="AS17" i="3"/>
  <c r="BK71" i="3"/>
  <c r="BK64" i="3"/>
  <c r="AL42" i="3"/>
  <c r="AU70" i="3"/>
  <c r="BK56" i="3"/>
  <c r="J55" i="3"/>
  <c r="AJ58" i="3"/>
  <c r="AJ59" i="3" s="1"/>
  <c r="AS20" i="3"/>
  <c r="AK58" i="3"/>
  <c r="AK59" i="3" s="1"/>
  <c r="AL72" i="3"/>
  <c r="AL65" i="3"/>
  <c r="U29" i="3"/>
  <c r="U34" i="3"/>
  <c r="U53" i="3"/>
  <c r="T64" i="3"/>
  <c r="L19" i="3"/>
  <c r="S21" i="3"/>
  <c r="S27" i="3"/>
  <c r="BL14" i="3"/>
  <c r="BK14" i="3"/>
  <c r="BJ14" i="3"/>
  <c r="BH14" i="3"/>
  <c r="BU14" i="3"/>
  <c r="BT14" i="3"/>
  <c r="BU64" i="3"/>
  <c r="BU71" i="3"/>
  <c r="T89" i="3"/>
  <c r="BI14" i="3"/>
  <c r="BK63" i="3"/>
  <c r="BK70" i="3"/>
  <c r="S26" i="3"/>
  <c r="AM53" i="3"/>
  <c r="AM34" i="3"/>
  <c r="AU54" i="3"/>
  <c r="AL70" i="3"/>
  <c r="BM14" i="3"/>
  <c r="BS21" i="3"/>
  <c r="BK72" i="3"/>
  <c r="BK65" i="3"/>
  <c r="AH55" i="3"/>
  <c r="G45" i="3"/>
  <c r="S45" i="3" s="1"/>
  <c r="AL46" i="3"/>
  <c r="AG46" i="3" s="1"/>
  <c r="AS46" i="3" s="1"/>
  <c r="K55" i="3"/>
  <c r="H53" i="3"/>
  <c r="U63" i="3"/>
  <c r="AK55" i="3"/>
  <c r="K64" i="3"/>
  <c r="H16" i="3"/>
  <c r="I16" i="3"/>
  <c r="AU34" i="3"/>
  <c r="J16" i="3"/>
  <c r="K16" i="3"/>
  <c r="AU71" i="3"/>
  <c r="BS17" i="3" l="1"/>
  <c r="BS19" i="3"/>
  <c r="J56" i="3"/>
  <c r="AH14" i="3"/>
  <c r="AU61" i="3"/>
  <c r="AU87" i="3"/>
  <c r="AT14" i="3"/>
  <c r="AT15" i="3" s="1"/>
  <c r="AI14" i="3"/>
  <c r="AI87" i="3" s="1"/>
  <c r="AU29" i="3"/>
  <c r="AK14" i="3"/>
  <c r="AU89" i="3"/>
  <c r="AM14" i="3"/>
  <c r="AM87" i="3" s="1"/>
  <c r="AN29" i="3"/>
  <c r="AM29" i="3"/>
  <c r="AJ29" i="3"/>
  <c r="AG15" i="3"/>
  <c r="AL14" i="3"/>
  <c r="AL15" i="3" s="1"/>
  <c r="AJ14" i="3"/>
  <c r="AJ15" i="3" s="1"/>
  <c r="AK89" i="3"/>
  <c r="AT89" i="3"/>
  <c r="AL54" i="3"/>
  <c r="AK15" i="3"/>
  <c r="AK88" i="3" s="1"/>
  <c r="AN14" i="3"/>
  <c r="BL71" i="3"/>
  <c r="AL63" i="3"/>
  <c r="M29" i="3"/>
  <c r="S23" i="3"/>
  <c r="AG38" i="3"/>
  <c r="AS38" i="3" s="1"/>
  <c r="BJ56" i="3"/>
  <c r="K44" i="2"/>
  <c r="M74" i="5"/>
  <c r="BL19" i="5"/>
  <c r="AK56" i="3"/>
  <c r="AG32" i="3"/>
  <c r="AI34" i="3"/>
  <c r="AI53" i="3"/>
  <c r="I56" i="3"/>
  <c r="AG33" i="3"/>
  <c r="AS33" i="3" s="1"/>
  <c r="AK24" i="5"/>
  <c r="AK72" i="5" s="1"/>
  <c r="AT42" i="2" s="1"/>
  <c r="BM19" i="5"/>
  <c r="BM71" i="5" s="1"/>
  <c r="AG73" i="5"/>
  <c r="AM19" i="5"/>
  <c r="AM71" i="5" s="1"/>
  <c r="BK33" i="5"/>
  <c r="K56" i="3"/>
  <c r="AG74" i="5"/>
  <c r="BK19" i="5"/>
  <c r="BI56" i="3"/>
  <c r="BH56" i="3"/>
  <c r="AK19" i="5"/>
  <c r="K24" i="5"/>
  <c r="T53" i="3"/>
  <c r="K57" i="5"/>
  <c r="H56" i="3"/>
  <c r="L32" i="3"/>
  <c r="L19" i="5"/>
  <c r="AH56" i="3"/>
  <c r="BG76" i="5"/>
  <c r="BG80" i="5" s="1"/>
  <c r="L73" i="5"/>
  <c r="U43" i="2" s="1"/>
  <c r="K19" i="5"/>
  <c r="K71" i="5" s="1"/>
  <c r="BL62" i="5"/>
  <c r="BL69" i="5" s="1"/>
  <c r="BL72" i="5" s="1"/>
  <c r="BT43" i="2" s="1"/>
  <c r="BK62" i="5"/>
  <c r="BK69" i="5" s="1"/>
  <c r="BK72" i="5" s="1"/>
  <c r="BT42" i="2" s="1"/>
  <c r="AM32" i="5"/>
  <c r="AK32" i="5"/>
  <c r="AL32" i="5" s="1"/>
  <c r="K66" i="5"/>
  <c r="K69" i="5" s="1"/>
  <c r="L66" i="5"/>
  <c r="L69" i="5" s="1"/>
  <c r="L72" i="5" s="1"/>
  <c r="T43" i="2" s="1"/>
  <c r="L38" i="5"/>
  <c r="L45" i="5" s="1"/>
  <c r="K38" i="5"/>
  <c r="K45" i="5" s="1"/>
  <c r="BI49" i="5"/>
  <c r="BJ49" i="5" s="1"/>
  <c r="BK49" i="5" s="1"/>
  <c r="BK57" i="5" s="1"/>
  <c r="AJ49" i="5"/>
  <c r="AK49" i="5" s="1"/>
  <c r="BK42" i="5"/>
  <c r="BL42" i="5"/>
  <c r="AK44" i="2"/>
  <c r="AK57" i="5"/>
  <c r="BL57" i="5"/>
  <c r="BL73" i="5" s="1"/>
  <c r="BU43" i="2" s="1"/>
  <c r="AK31" i="5"/>
  <c r="AL31" i="5" s="1"/>
  <c r="AM31" i="5"/>
  <c r="AM33" i="5" s="1"/>
  <c r="AM73" i="5" s="1"/>
  <c r="AU44" i="2" s="1"/>
  <c r="BL38" i="5"/>
  <c r="BK38" i="5"/>
  <c r="BK45" i="5" s="1"/>
  <c r="BK71" i="5" s="1"/>
  <c r="AK42" i="5"/>
  <c r="AL42" i="5"/>
  <c r="AL50" i="5"/>
  <c r="AL57" i="5" s="1"/>
  <c r="AK50" i="5"/>
  <c r="AL38" i="5"/>
  <c r="AK38" i="5"/>
  <c r="AG72" i="5"/>
  <c r="AK23" i="5"/>
  <c r="AL23" i="5" s="1"/>
  <c r="AL24" i="5" s="1"/>
  <c r="AL72" i="5" s="1"/>
  <c r="AT43" i="2" s="1"/>
  <c r="AM23" i="5"/>
  <c r="AM24" i="5" s="1"/>
  <c r="AM72" i="5" s="1"/>
  <c r="AT44" i="2" s="1"/>
  <c r="G73" i="5"/>
  <c r="G74" i="5" s="1"/>
  <c r="K73" i="5"/>
  <c r="U42" i="2" s="1"/>
  <c r="BK44" i="2"/>
  <c r="BM74" i="5"/>
  <c r="BU40" i="2"/>
  <c r="BP64" i="4"/>
  <c r="N41" i="4"/>
  <c r="U40" i="2"/>
  <c r="P64" i="4"/>
  <c r="AL55" i="4"/>
  <c r="BN63" i="4"/>
  <c r="BT39" i="2"/>
  <c r="N63" i="4"/>
  <c r="BL33" i="4"/>
  <c r="AN62" i="4"/>
  <c r="AK39" i="2"/>
  <c r="BP60" i="4"/>
  <c r="BI40" i="2"/>
  <c r="BH57" i="4"/>
  <c r="BN60" i="4"/>
  <c r="BI39" i="2"/>
  <c r="AH38" i="2"/>
  <c r="AN14" i="4"/>
  <c r="AL59" i="4"/>
  <c r="BP56" i="4"/>
  <c r="BM39" i="2"/>
  <c r="BN65" i="4"/>
  <c r="AP63" i="4"/>
  <c r="AT40" i="2"/>
  <c r="AN63" i="4"/>
  <c r="AT39" i="2"/>
  <c r="J38" i="2"/>
  <c r="L61" i="4"/>
  <c r="N21" i="4"/>
  <c r="N57" i="4" s="1"/>
  <c r="BN57" i="4"/>
  <c r="BN59" i="4"/>
  <c r="BH39" i="2"/>
  <c r="BP14" i="4"/>
  <c r="AL45" i="4"/>
  <c r="AN45" i="4" s="1"/>
  <c r="AN46" i="4" s="1"/>
  <c r="BJ45" i="4"/>
  <c r="BL45" i="4" s="1"/>
  <c r="BN45" i="4" s="1"/>
  <c r="BN46" i="4" s="1"/>
  <c r="AL33" i="4"/>
  <c r="K39" i="2"/>
  <c r="N62" i="4"/>
  <c r="BJ36" i="4"/>
  <c r="BL36" i="4" s="1"/>
  <c r="AL36" i="4"/>
  <c r="AI40" i="2"/>
  <c r="AP60" i="4"/>
  <c r="BI38" i="2"/>
  <c r="BL60" i="4"/>
  <c r="AL65" i="4"/>
  <c r="AN56" i="4"/>
  <c r="AM38" i="2"/>
  <c r="K40" i="2"/>
  <c r="P62" i="4"/>
  <c r="BJ35" i="4"/>
  <c r="BL35" i="4" s="1"/>
  <c r="BL41" i="4" s="1"/>
  <c r="AL35" i="4"/>
  <c r="AL41" i="4" s="1"/>
  <c r="H39" i="2"/>
  <c r="P14" i="4"/>
  <c r="N59" i="4"/>
  <c r="N60" i="4"/>
  <c r="I39" i="2"/>
  <c r="AL44" i="4"/>
  <c r="BJ44" i="4"/>
  <c r="BL44" i="4" s="1"/>
  <c r="BL61" i="4"/>
  <c r="BN21" i="4"/>
  <c r="BJ38" i="2"/>
  <c r="H60" i="4"/>
  <c r="H66" i="4" s="1"/>
  <c r="H57" i="4"/>
  <c r="AL23" i="4"/>
  <c r="AL28" i="4" s="1"/>
  <c r="L55" i="4"/>
  <c r="L41" i="4"/>
  <c r="AU40" i="2"/>
  <c r="AP64" i="4"/>
  <c r="AL51" i="4"/>
  <c r="BH66" i="4"/>
  <c r="M40" i="2"/>
  <c r="P65" i="4"/>
  <c r="AN20" i="4"/>
  <c r="AH57" i="4"/>
  <c r="L36" i="4"/>
  <c r="AJ38" i="2"/>
  <c r="AL61" i="4"/>
  <c r="AN21" i="4"/>
  <c r="BJ38" i="4"/>
  <c r="BL38" i="4" s="1"/>
  <c r="BN38" i="4" s="1"/>
  <c r="BN41" i="4" s="1"/>
  <c r="AL38" i="4"/>
  <c r="AN38" i="4" s="1"/>
  <c r="AN41" i="4" s="1"/>
  <c r="AJ43" i="4"/>
  <c r="L43" i="4"/>
  <c r="L46" i="4" s="1"/>
  <c r="K38" i="2" s="1"/>
  <c r="AL16" i="4"/>
  <c r="AL20" i="4" s="1"/>
  <c r="BN62" i="4"/>
  <c r="BK39" i="2"/>
  <c r="AL88" i="3"/>
  <c r="AL69" i="3"/>
  <c r="AL62" i="3"/>
  <c r="U56" i="3"/>
  <c r="BL68" i="3"/>
  <c r="BL61" i="3"/>
  <c r="BL87" i="3"/>
  <c r="J89" i="3"/>
  <c r="J29" i="3"/>
  <c r="U14" i="3"/>
  <c r="T14" i="3"/>
  <c r="N14" i="3"/>
  <c r="I14" i="3"/>
  <c r="I15" i="3" s="1"/>
  <c r="H14" i="3"/>
  <c r="M14" i="3"/>
  <c r="K14" i="3"/>
  <c r="K15" i="3" s="1"/>
  <c r="J14" i="3"/>
  <c r="J15" i="3" s="1"/>
  <c r="BH16" i="3"/>
  <c r="I89" i="3"/>
  <c r="I29" i="3"/>
  <c r="BK68" i="3"/>
  <c r="BK61" i="3"/>
  <c r="BK87" i="3"/>
  <c r="BL54" i="3"/>
  <c r="BS25" i="3"/>
  <c r="AO14" i="3"/>
  <c r="AH87" i="3"/>
  <c r="AH61" i="3"/>
  <c r="L70" i="3"/>
  <c r="S18" i="3"/>
  <c r="L63" i="3"/>
  <c r="L29" i="3"/>
  <c r="BH87" i="3"/>
  <c r="BH61" i="3"/>
  <c r="BO14" i="3"/>
  <c r="BS14" i="3" s="1"/>
  <c r="BJ87" i="3"/>
  <c r="BJ61" i="3"/>
  <c r="BM61" i="3"/>
  <c r="BM87" i="3"/>
  <c r="BL63" i="3"/>
  <c r="BL70" i="3"/>
  <c r="H89" i="3"/>
  <c r="H29" i="3"/>
  <c r="O16" i="3"/>
  <c r="G15" i="3"/>
  <c r="AM55" i="3"/>
  <c r="AM56" i="3"/>
  <c r="AL34" i="3"/>
  <c r="BL47" i="3"/>
  <c r="BL16" i="3" s="1"/>
  <c r="BT16" i="3"/>
  <c r="L34" i="3"/>
  <c r="BU89" i="3"/>
  <c r="BU29" i="3"/>
  <c r="BU15" i="3"/>
  <c r="BL34" i="3"/>
  <c r="BS34" i="3" s="1"/>
  <c r="BJ89" i="3"/>
  <c r="BJ29" i="3"/>
  <c r="BJ15" i="3"/>
  <c r="BM55" i="3"/>
  <c r="BI87" i="3"/>
  <c r="BI61" i="3"/>
  <c r="L71" i="3"/>
  <c r="L64" i="3"/>
  <c r="S19" i="3"/>
  <c r="AK61" i="3"/>
  <c r="AK68" i="3"/>
  <c r="AK87" i="3"/>
  <c r="BM15" i="3"/>
  <c r="BM89" i="3"/>
  <c r="BM29" i="3"/>
  <c r="BK15" i="3"/>
  <c r="AI61" i="3"/>
  <c r="BS18" i="3"/>
  <c r="AH47" i="3"/>
  <c r="AI16" i="3"/>
  <c r="AT61" i="3"/>
  <c r="AT87" i="3"/>
  <c r="AT68" i="3"/>
  <c r="BT68" i="3"/>
  <c r="BT87" i="3"/>
  <c r="BT61" i="3"/>
  <c r="M55" i="3"/>
  <c r="AL61" i="3"/>
  <c r="AL68" i="3"/>
  <c r="AL87" i="3"/>
  <c r="BN89" i="3"/>
  <c r="BN15" i="3"/>
  <c r="BN88" i="3" s="1"/>
  <c r="BN29" i="3"/>
  <c r="AU69" i="3"/>
  <c r="AU73" i="3" s="1"/>
  <c r="AU62" i="3"/>
  <c r="AU66" i="3" s="1"/>
  <c r="AU88" i="3"/>
  <c r="AL64" i="3"/>
  <c r="AJ55" i="3"/>
  <c r="BI15" i="3"/>
  <c r="S16" i="3"/>
  <c r="K89" i="3"/>
  <c r="K29" i="3"/>
  <c r="BU68" i="3"/>
  <c r="BU61" i="3"/>
  <c r="BU87" i="3"/>
  <c r="AK62" i="3" l="1"/>
  <c r="AK66" i="3" s="1"/>
  <c r="AK69" i="3"/>
  <c r="AM15" i="3"/>
  <c r="AJ61" i="3"/>
  <c r="AJ87" i="3"/>
  <c r="AM61" i="3"/>
  <c r="AS14" i="3"/>
  <c r="AN87" i="3"/>
  <c r="AN15" i="3"/>
  <c r="AN88" i="3" s="1"/>
  <c r="BM56" i="3"/>
  <c r="AL66" i="3"/>
  <c r="AL73" i="3"/>
  <c r="G76" i="5"/>
  <c r="G80" i="5" s="1"/>
  <c r="AJ56" i="3"/>
  <c r="AG76" i="5"/>
  <c r="AG80" i="5" s="1"/>
  <c r="AL33" i="5"/>
  <c r="AL73" i="5" s="1"/>
  <c r="AU43" i="2" s="1"/>
  <c r="AT56" i="3"/>
  <c r="BU56" i="3"/>
  <c r="BT56" i="3"/>
  <c r="AI55" i="3"/>
  <c r="AG34" i="3"/>
  <c r="AS34" i="3" s="1"/>
  <c r="AK45" i="5"/>
  <c r="AK71" i="5" s="1"/>
  <c r="L53" i="3"/>
  <c r="G32" i="3"/>
  <c r="G34" i="3" s="1"/>
  <c r="S34" i="3" s="1"/>
  <c r="AK33" i="5"/>
  <c r="AK73" i="5" s="1"/>
  <c r="AU42" i="2" s="1"/>
  <c r="BK73" i="5"/>
  <c r="BU42" i="2" s="1"/>
  <c r="AL45" i="5"/>
  <c r="AL71" i="5" s="1"/>
  <c r="AK43" i="2" s="1"/>
  <c r="L71" i="5"/>
  <c r="AM74" i="5"/>
  <c r="AU56" i="3"/>
  <c r="M56" i="3"/>
  <c r="T56" i="3"/>
  <c r="K72" i="5"/>
  <c r="T42" i="2" s="1"/>
  <c r="BK42" i="2"/>
  <c r="L74" i="5"/>
  <c r="K43" i="2"/>
  <c r="K74" i="5"/>
  <c r="K42" i="2"/>
  <c r="BL45" i="5"/>
  <c r="BL71" i="5" s="1"/>
  <c r="BL57" i="4"/>
  <c r="BU38" i="2"/>
  <c r="BL64" i="4"/>
  <c r="T38" i="2"/>
  <c r="L63" i="4"/>
  <c r="AL62" i="4"/>
  <c r="BJ43" i="4"/>
  <c r="BL43" i="4" s="1"/>
  <c r="BL46" i="4" s="1"/>
  <c r="AL43" i="4"/>
  <c r="AL46" i="4" s="1"/>
  <c r="AK38" i="2" s="1"/>
  <c r="L66" i="4"/>
  <c r="AN65" i="4"/>
  <c r="AP56" i="4"/>
  <c r="AM39" i="2"/>
  <c r="BJ39" i="2"/>
  <c r="BN61" i="4"/>
  <c r="BN66" i="4" s="1"/>
  <c r="BP21" i="4"/>
  <c r="BP57" i="4" s="1"/>
  <c r="BU39" i="2"/>
  <c r="BN64" i="4"/>
  <c r="AJ39" i="2"/>
  <c r="AN61" i="4"/>
  <c r="AP21" i="4"/>
  <c r="U39" i="2"/>
  <c r="N64" i="4"/>
  <c r="U38" i="2"/>
  <c r="L64" i="4"/>
  <c r="AU39" i="2"/>
  <c r="AN64" i="4"/>
  <c r="BM40" i="2"/>
  <c r="BP65" i="4"/>
  <c r="L62" i="4"/>
  <c r="AL64" i="4"/>
  <c r="AU38" i="2"/>
  <c r="BL63" i="4"/>
  <c r="BT38" i="2"/>
  <c r="AL60" i="4"/>
  <c r="AL66" i="4" s="1"/>
  <c r="AI38" i="2"/>
  <c r="AL57" i="4"/>
  <c r="AP14" i="4"/>
  <c r="AH39" i="2"/>
  <c r="AN57" i="4"/>
  <c r="AN59" i="4"/>
  <c r="AI39" i="2"/>
  <c r="AN60" i="4"/>
  <c r="AL63" i="4"/>
  <c r="AT38" i="2"/>
  <c r="BP59" i="4"/>
  <c r="BH40" i="2"/>
  <c r="J39" i="2"/>
  <c r="N61" i="4"/>
  <c r="N66" i="4" s="1"/>
  <c r="P21" i="4"/>
  <c r="L57" i="4"/>
  <c r="H40" i="2"/>
  <c r="P57" i="4"/>
  <c r="P59" i="4"/>
  <c r="N87" i="3"/>
  <c r="N15" i="3"/>
  <c r="N88" i="3" s="1"/>
  <c r="BL15" i="3"/>
  <c r="BL89" i="3"/>
  <c r="BL29" i="3"/>
  <c r="AI29" i="3"/>
  <c r="AI89" i="3"/>
  <c r="AI15" i="3"/>
  <c r="BJ62" i="3"/>
  <c r="BJ66" i="3" s="1"/>
  <c r="BJ88" i="3"/>
  <c r="I61" i="3"/>
  <c r="I87" i="3"/>
  <c r="T61" i="3"/>
  <c r="T87" i="3"/>
  <c r="T68" i="3"/>
  <c r="T15" i="3"/>
  <c r="AT69" i="3"/>
  <c r="AT62" i="3"/>
  <c r="AT66" i="3" s="1"/>
  <c r="AT88" i="3"/>
  <c r="BK62" i="3"/>
  <c r="BK66" i="3" s="1"/>
  <c r="BK69" i="3"/>
  <c r="BK73" i="3" s="1"/>
  <c r="BK88" i="3"/>
  <c r="U61" i="3"/>
  <c r="U87" i="3"/>
  <c r="U68" i="3"/>
  <c r="L14" i="3"/>
  <c r="U15" i="3"/>
  <c r="AG47" i="3"/>
  <c r="AS47" i="3" s="1"/>
  <c r="AH16" i="3"/>
  <c r="AL56" i="3"/>
  <c r="K69" i="3"/>
  <c r="K88" i="3"/>
  <c r="K62" i="3"/>
  <c r="M61" i="3"/>
  <c r="M87" i="3"/>
  <c r="M15" i="3"/>
  <c r="BU62" i="3"/>
  <c r="BU66" i="3" s="1"/>
  <c r="BU88" i="3"/>
  <c r="BU69" i="3"/>
  <c r="BU73" i="3" s="1"/>
  <c r="O29" i="3"/>
  <c r="S29" i="3" s="1"/>
  <c r="H87" i="3"/>
  <c r="H61" i="3"/>
  <c r="O14" i="3"/>
  <c r="O15" i="3" s="1"/>
  <c r="BM88" i="3"/>
  <c r="BM62" i="3"/>
  <c r="BM66" i="3" s="1"/>
  <c r="BI62" i="3"/>
  <c r="BI66" i="3" s="1"/>
  <c r="BI88" i="3"/>
  <c r="AK73" i="3"/>
  <c r="AJ88" i="3"/>
  <c r="AJ62" i="3"/>
  <c r="AJ66" i="3" s="1"/>
  <c r="J88" i="3"/>
  <c r="J62" i="3"/>
  <c r="H15" i="3"/>
  <c r="AT73" i="3"/>
  <c r="J61" i="3"/>
  <c r="J66" i="3" s="1"/>
  <c r="J87" i="3"/>
  <c r="I62" i="3"/>
  <c r="I88" i="3"/>
  <c r="BH29" i="3"/>
  <c r="BH89" i="3"/>
  <c r="BH15" i="3"/>
  <c r="BO16" i="3"/>
  <c r="BG47" i="3"/>
  <c r="BS47" i="3" s="1"/>
  <c r="BT89" i="3"/>
  <c r="BT29" i="3"/>
  <c r="BT15" i="3"/>
  <c r="K61" i="3"/>
  <c r="K68" i="3"/>
  <c r="K87" i="3"/>
  <c r="AM88" i="3" l="1"/>
  <c r="AM62" i="3"/>
  <c r="AM66" i="3" s="1"/>
  <c r="AK74" i="5"/>
  <c r="BK74" i="5"/>
  <c r="L56" i="3"/>
  <c r="AL74" i="5"/>
  <c r="AI56" i="3"/>
  <c r="BL56" i="3"/>
  <c r="AK42" i="2"/>
  <c r="BL74" i="5"/>
  <c r="BK43" i="2"/>
  <c r="BL62" i="4"/>
  <c r="BL66" i="4" s="1"/>
  <c r="BK38" i="2"/>
  <c r="AH40" i="2"/>
  <c r="AP57" i="4"/>
  <c r="AP59" i="4"/>
  <c r="BJ40" i="2"/>
  <c r="BP61" i="4"/>
  <c r="BP66" i="4" s="1"/>
  <c r="P61" i="4"/>
  <c r="P66" i="4" s="1"/>
  <c r="J40" i="2"/>
  <c r="AP61" i="4"/>
  <c r="AJ40" i="2"/>
  <c r="AP65" i="4"/>
  <c r="AM40" i="2"/>
  <c r="AN66" i="4"/>
  <c r="U62" i="3"/>
  <c r="U88" i="3"/>
  <c r="U69" i="3"/>
  <c r="T66" i="3"/>
  <c r="I66" i="3"/>
  <c r="U73" i="3"/>
  <c r="L61" i="3"/>
  <c r="L68" i="3"/>
  <c r="L87" i="3"/>
  <c r="L15" i="3"/>
  <c r="AI62" i="3"/>
  <c r="AI66" i="3" s="1"/>
  <c r="AI88" i="3"/>
  <c r="AO16" i="3"/>
  <c r="AH89" i="3"/>
  <c r="AH15" i="3"/>
  <c r="AH29" i="3"/>
  <c r="H62" i="3"/>
  <c r="H66" i="3" s="1"/>
  <c r="H88" i="3"/>
  <c r="K73" i="3"/>
  <c r="K66" i="3"/>
  <c r="BT62" i="3"/>
  <c r="BT66" i="3" s="1"/>
  <c r="BT88" i="3"/>
  <c r="BT69" i="3"/>
  <c r="BT73" i="3" s="1"/>
  <c r="BO15" i="3"/>
  <c r="BO29" i="3"/>
  <c r="U66" i="3"/>
  <c r="BH88" i="3"/>
  <c r="BH62" i="3"/>
  <c r="BH66" i="3" s="1"/>
  <c r="BS15" i="3"/>
  <c r="BS16" i="3"/>
  <c r="M62" i="3"/>
  <c r="M88" i="3"/>
  <c r="BS29" i="3"/>
  <c r="M66" i="3"/>
  <c r="BL69" i="3"/>
  <c r="BL73" i="3" s="1"/>
  <c r="BL88" i="3"/>
  <c r="BL62" i="3"/>
  <c r="BL66" i="3" s="1"/>
  <c r="T62" i="3"/>
  <c r="T69" i="3"/>
  <c r="T73" i="3" s="1"/>
  <c r="T88" i="3"/>
  <c r="S14" i="3"/>
  <c r="AP66" i="4" l="1"/>
  <c r="AO15" i="3"/>
  <c r="AO29" i="3"/>
  <c r="AS16" i="3"/>
  <c r="L88" i="3"/>
  <c r="L62" i="3"/>
  <c r="L69" i="3"/>
  <c r="L73" i="3" s="1"/>
  <c r="AS29" i="3"/>
  <c r="L66" i="3"/>
  <c r="AH62" i="3"/>
  <c r="AH66" i="3" s="1"/>
  <c r="AH88" i="3"/>
  <c r="AS15" i="3"/>
  <c r="S15" i="3"/>
  <c r="BU36" i="2" l="1"/>
  <c r="BU54" i="2" s="1"/>
  <c r="BT36" i="2"/>
  <c r="BT54" i="2" s="1"/>
  <c r="BL36" i="2"/>
  <c r="BG36" i="2" s="1"/>
  <c r="BS36" i="2" s="1"/>
  <c r="AU36" i="2"/>
  <c r="AT36" i="2"/>
  <c r="AL36" i="2"/>
  <c r="U36" i="2"/>
  <c r="U54" i="2" s="1"/>
  <c r="T36" i="2"/>
  <c r="L36" i="2"/>
  <c r="BU35" i="2"/>
  <c r="BU52" i="2" s="1"/>
  <c r="BT35" i="2"/>
  <c r="BT52" i="2" s="1"/>
  <c r="BU33" i="2"/>
  <c r="BU32" i="2" s="1"/>
  <c r="BT33" i="2"/>
  <c r="BT32" i="2" s="1"/>
  <c r="BT34" i="2" s="1"/>
  <c r="BM35" i="2"/>
  <c r="BL35" i="2"/>
  <c r="BK35" i="2"/>
  <c r="BJ35" i="2"/>
  <c r="BJ52" i="2" s="1"/>
  <c r="BI35" i="2"/>
  <c r="BH35" i="2"/>
  <c r="BH52" i="2" s="1"/>
  <c r="BM33" i="2"/>
  <c r="BM32" i="2" s="1"/>
  <c r="BM34" i="2" s="1"/>
  <c r="BL33" i="2"/>
  <c r="BK33" i="2"/>
  <c r="BJ33" i="2"/>
  <c r="BJ32" i="2" s="1"/>
  <c r="BJ34" i="2" s="1"/>
  <c r="BI33" i="2"/>
  <c r="BH33" i="2"/>
  <c r="BL32" i="2"/>
  <c r="BK32" i="2"/>
  <c r="BI32" i="2"/>
  <c r="BI53" i="2" s="1"/>
  <c r="BH32" i="2"/>
  <c r="AU35" i="2"/>
  <c r="AT35" i="2"/>
  <c r="AT52" i="2" s="1"/>
  <c r="AU33" i="2"/>
  <c r="AT33" i="2"/>
  <c r="AT32" i="2" s="1"/>
  <c r="AU32" i="2"/>
  <c r="AU53" i="2" s="1"/>
  <c r="AM35" i="2"/>
  <c r="AL35" i="2"/>
  <c r="AK35" i="2"/>
  <c r="AK52" i="2" s="1"/>
  <c r="AJ35" i="2"/>
  <c r="AI35" i="2"/>
  <c r="AH35" i="2"/>
  <c r="AH52" i="2" s="1"/>
  <c r="AM33" i="2"/>
  <c r="AM32" i="2" s="1"/>
  <c r="AL33" i="2"/>
  <c r="AK33" i="2"/>
  <c r="AJ33" i="2"/>
  <c r="AI33" i="2"/>
  <c r="AI32" i="2" s="1"/>
  <c r="AH33" i="2"/>
  <c r="AL32" i="2"/>
  <c r="AK32" i="2"/>
  <c r="AJ32" i="2"/>
  <c r="AH32" i="2"/>
  <c r="U35" i="2"/>
  <c r="U52" i="2" s="1"/>
  <c r="T35" i="2"/>
  <c r="U33" i="2"/>
  <c r="T33" i="2"/>
  <c r="U32" i="2"/>
  <c r="U34" i="2" s="1"/>
  <c r="T32" i="2"/>
  <c r="T53" i="2" s="1"/>
  <c r="M35" i="2"/>
  <c r="L35" i="2"/>
  <c r="K35" i="2"/>
  <c r="J35" i="2"/>
  <c r="I35" i="2"/>
  <c r="H35" i="2"/>
  <c r="M33" i="2"/>
  <c r="M32" i="2" s="1"/>
  <c r="L33" i="2"/>
  <c r="K33" i="2"/>
  <c r="J33" i="2"/>
  <c r="I33" i="2"/>
  <c r="I32" i="2" s="1"/>
  <c r="H33" i="2"/>
  <c r="L32" i="2"/>
  <c r="L34" i="2" s="1"/>
  <c r="K32" i="2"/>
  <c r="K34" i="2" s="1"/>
  <c r="J32" i="2"/>
  <c r="H32" i="2"/>
  <c r="H34" i="2" s="1"/>
  <c r="Q186" i="6"/>
  <c r="Q185" i="6"/>
  <c r="V186" i="6"/>
  <c r="V185" i="6"/>
  <c r="V184" i="6"/>
  <c r="Q184" i="6"/>
  <c r="BM73" i="2"/>
  <c r="BJ73" i="2"/>
  <c r="BI73" i="2"/>
  <c r="BH73" i="2"/>
  <c r="AM73" i="2"/>
  <c r="AJ73" i="2"/>
  <c r="AI73" i="2"/>
  <c r="AH73" i="2"/>
  <c r="M73" i="2"/>
  <c r="J73" i="2"/>
  <c r="I73" i="2"/>
  <c r="H73" i="2"/>
  <c r="BK72" i="2"/>
  <c r="BU70" i="2"/>
  <c r="BT70" i="2"/>
  <c r="AM65" i="2"/>
  <c r="H65" i="2"/>
  <c r="BU64" i="2"/>
  <c r="BT64" i="2"/>
  <c r="BM64" i="2"/>
  <c r="AH64" i="2"/>
  <c r="T64" i="2"/>
  <c r="K64" i="2"/>
  <c r="AM63" i="2"/>
  <c r="AJ63" i="2"/>
  <c r="AI63" i="2"/>
  <c r="BT58" i="2"/>
  <c r="BT59" i="2" s="1"/>
  <c r="BK58" i="2"/>
  <c r="BK59" i="2" s="1"/>
  <c r="AM58" i="2"/>
  <c r="AM59" i="2" s="1"/>
  <c r="I58" i="2"/>
  <c r="I59" i="2" s="1"/>
  <c r="BM54" i="2"/>
  <c r="BK54" i="2"/>
  <c r="BJ54" i="2"/>
  <c r="BI54" i="2"/>
  <c r="BH54" i="2"/>
  <c r="AU54" i="2"/>
  <c r="AM54" i="2"/>
  <c r="AK54" i="2"/>
  <c r="AJ54" i="2"/>
  <c r="AI54" i="2"/>
  <c r="AH54" i="2"/>
  <c r="M54" i="2"/>
  <c r="K54" i="2"/>
  <c r="J54" i="2"/>
  <c r="I54" i="2"/>
  <c r="H54" i="2"/>
  <c r="AH53" i="2"/>
  <c r="K53" i="2"/>
  <c r="AU52" i="2"/>
  <c r="AM52" i="2"/>
  <c r="AJ52" i="2"/>
  <c r="AI52" i="2"/>
  <c r="K52" i="2"/>
  <c r="J52" i="2"/>
  <c r="BU46" i="2"/>
  <c r="BT46" i="2"/>
  <c r="BM46" i="2"/>
  <c r="BL46" i="2"/>
  <c r="BK46" i="2"/>
  <c r="BJ46" i="2"/>
  <c r="BI46" i="2"/>
  <c r="BH46" i="2"/>
  <c r="AU46" i="2"/>
  <c r="AT46" i="2"/>
  <c r="AL46" i="2" s="1"/>
  <c r="AM46" i="2"/>
  <c r="AK46" i="2"/>
  <c r="AJ46" i="2"/>
  <c r="AI46" i="2"/>
  <c r="AH46" i="2"/>
  <c r="AG46" i="2"/>
  <c r="AS46" i="2" s="1"/>
  <c r="U46" i="2"/>
  <c r="T46" i="2"/>
  <c r="M46" i="2"/>
  <c r="L46" i="2"/>
  <c r="K46" i="2"/>
  <c r="J46" i="2"/>
  <c r="I46" i="2"/>
  <c r="H46" i="2"/>
  <c r="G46" i="2" s="1"/>
  <c r="S46" i="2" s="1"/>
  <c r="BU45" i="2"/>
  <c r="BT45" i="2"/>
  <c r="BM45" i="2"/>
  <c r="BL45" i="2"/>
  <c r="BK45" i="2"/>
  <c r="BJ45" i="2"/>
  <c r="BI45" i="2"/>
  <c r="BH45" i="2"/>
  <c r="BG45" i="2"/>
  <c r="BS45" i="2" s="1"/>
  <c r="AU45" i="2"/>
  <c r="AT45" i="2"/>
  <c r="AM45" i="2"/>
  <c r="AK45" i="2"/>
  <c r="AJ45" i="2"/>
  <c r="AI45" i="2"/>
  <c r="AH45" i="2"/>
  <c r="U45" i="2"/>
  <c r="T45" i="2"/>
  <c r="T16" i="2" s="1"/>
  <c r="M45" i="2"/>
  <c r="L45" i="2"/>
  <c r="K45" i="2"/>
  <c r="J45" i="2"/>
  <c r="I45" i="2"/>
  <c r="H45" i="2"/>
  <c r="BL44" i="2"/>
  <c r="AL44" i="2"/>
  <c r="L44" i="2"/>
  <c r="BL43" i="2"/>
  <c r="AL43" i="2"/>
  <c r="AK71" i="2"/>
  <c r="L43" i="2"/>
  <c r="BL42" i="2"/>
  <c r="BL70" i="2" s="1"/>
  <c r="AL42" i="2"/>
  <c r="AK70" i="2"/>
  <c r="BS41" i="2"/>
  <c r="AS41" i="2"/>
  <c r="S41" i="2"/>
  <c r="BL40" i="2"/>
  <c r="BL65" i="2" s="1"/>
  <c r="BK65" i="2"/>
  <c r="AL40" i="2"/>
  <c r="AH65" i="2"/>
  <c r="L40" i="2"/>
  <c r="K65" i="2"/>
  <c r="J65" i="2"/>
  <c r="G40" i="2"/>
  <c r="S40" i="2" s="1"/>
  <c r="BL39" i="2"/>
  <c r="BG39" i="2" s="1"/>
  <c r="BS39" i="2" s="1"/>
  <c r="AL39" i="2"/>
  <c r="L39" i="2"/>
  <c r="BU58" i="2"/>
  <c r="BU59" i="2" s="1"/>
  <c r="BL38" i="2"/>
  <c r="BL63" i="2" s="1"/>
  <c r="BM58" i="2"/>
  <c r="BM59" i="2" s="1"/>
  <c r="AL38" i="2"/>
  <c r="AG38" i="2" s="1"/>
  <c r="AS38" i="2" s="1"/>
  <c r="AK63" i="2"/>
  <c r="AJ58" i="2"/>
  <c r="AJ59" i="2" s="1"/>
  <c r="U63" i="2"/>
  <c r="H63" i="2"/>
  <c r="BS37" i="2"/>
  <c r="AS37" i="2"/>
  <c r="S37" i="2"/>
  <c r="AT54" i="2"/>
  <c r="AG36" i="2"/>
  <c r="AS36" i="2" s="1"/>
  <c r="G36" i="2"/>
  <c r="S36" i="2" s="1"/>
  <c r="BM52" i="2"/>
  <c r="BL52" i="2"/>
  <c r="BK52" i="2"/>
  <c r="T52" i="2"/>
  <c r="M52" i="2"/>
  <c r="I52" i="2"/>
  <c r="BG33" i="2"/>
  <c r="BS33" i="2" s="1"/>
  <c r="AL34" i="2"/>
  <c r="AK53" i="2"/>
  <c r="BS28" i="2"/>
  <c r="AS28" i="2"/>
  <c r="S28" i="2"/>
  <c r="BS27" i="2"/>
  <c r="AL27" i="2"/>
  <c r="L27" i="2"/>
  <c r="S27" i="2" s="1"/>
  <c r="AL26" i="2"/>
  <c r="AS26" i="2" s="1"/>
  <c r="BS25" i="2"/>
  <c r="AL25" i="2"/>
  <c r="AL24" i="2"/>
  <c r="L24" i="2"/>
  <c r="S24" i="2" s="1"/>
  <c r="BS23" i="2"/>
  <c r="AL23" i="2"/>
  <c r="AS23" i="2"/>
  <c r="AL22" i="2"/>
  <c r="L22" i="2"/>
  <c r="S22" i="2" s="1"/>
  <c r="BU65" i="2"/>
  <c r="BJ65" i="2"/>
  <c r="BI65" i="2"/>
  <c r="BH65" i="2"/>
  <c r="BS21" i="2"/>
  <c r="AU65" i="2"/>
  <c r="AL21" i="2"/>
  <c r="AK65" i="2"/>
  <c r="AI65" i="2"/>
  <c r="U65" i="2"/>
  <c r="M65" i="2"/>
  <c r="L21" i="2"/>
  <c r="L51" i="2" s="1"/>
  <c r="K72" i="2"/>
  <c r="I65" i="2"/>
  <c r="AL20" i="2"/>
  <c r="L20" i="2"/>
  <c r="S20" i="2" s="1"/>
  <c r="BU71" i="2"/>
  <c r="BS19" i="2"/>
  <c r="BJ64" i="2"/>
  <c r="BI64" i="2"/>
  <c r="BH64" i="2"/>
  <c r="AM64" i="2"/>
  <c r="AK64" i="2"/>
  <c r="AJ64" i="2"/>
  <c r="AI64" i="2"/>
  <c r="U71" i="2"/>
  <c r="T71" i="2"/>
  <c r="M64" i="2"/>
  <c r="K71" i="2"/>
  <c r="J64" i="2"/>
  <c r="I64" i="2"/>
  <c r="BU63" i="2"/>
  <c r="BT63" i="2"/>
  <c r="BM63" i="2"/>
  <c r="BJ63" i="2"/>
  <c r="BI63" i="2"/>
  <c r="BH63" i="2"/>
  <c r="AU70" i="2"/>
  <c r="AH63" i="2"/>
  <c r="AA18" i="2"/>
  <c r="AA19" i="2" s="1"/>
  <c r="AA20" i="2" s="1"/>
  <c r="AA21" i="2" s="1"/>
  <c r="AA22" i="2" s="1"/>
  <c r="AA23" i="2" s="1"/>
  <c r="AA24" i="2" s="1"/>
  <c r="AA25" i="2" s="1"/>
  <c r="AA26" i="2" s="1"/>
  <c r="AA27" i="2" s="1"/>
  <c r="AA28" i="2" s="1"/>
  <c r="AA29" i="2" s="1"/>
  <c r="AA30" i="2" s="1"/>
  <c r="AA31" i="2" s="1"/>
  <c r="AA32" i="2" s="1"/>
  <c r="AA33" i="2" s="1"/>
  <c r="AA34" i="2" s="1"/>
  <c r="AA35" i="2" s="1"/>
  <c r="AA36" i="2" s="1"/>
  <c r="AA37" i="2" s="1"/>
  <c r="AA38" i="2" s="1"/>
  <c r="AA39" i="2" s="1"/>
  <c r="AA40" i="2" s="1"/>
  <c r="AA41" i="2" s="1"/>
  <c r="AA42" i="2" s="1"/>
  <c r="AA43" i="2" s="1"/>
  <c r="AA44" i="2" s="1"/>
  <c r="AA45" i="2" s="1"/>
  <c r="AA46" i="2" s="1"/>
  <c r="AA47" i="2" s="1"/>
  <c r="AA48" i="2" s="1"/>
  <c r="AA49" i="2" s="1"/>
  <c r="AA50" i="2" s="1"/>
  <c r="AA51" i="2" s="1"/>
  <c r="AA52" i="2" s="1"/>
  <c r="AA53" i="2" s="1"/>
  <c r="AA54" i="2" s="1"/>
  <c r="AA55" i="2" s="1"/>
  <c r="AA56" i="2" s="1"/>
  <c r="AA57" i="2" s="1"/>
  <c r="AA58" i="2" s="1"/>
  <c r="AA59" i="2" s="1"/>
  <c r="AA60" i="2" s="1"/>
  <c r="AA61" i="2" s="1"/>
  <c r="AA62" i="2" s="1"/>
  <c r="AA63" i="2" s="1"/>
  <c r="AA64" i="2" s="1"/>
  <c r="AA65" i="2" s="1"/>
  <c r="AA66" i="2" s="1"/>
  <c r="AA67" i="2" s="1"/>
  <c r="AA68" i="2" s="1"/>
  <c r="AA69" i="2" s="1"/>
  <c r="AA70" i="2" s="1"/>
  <c r="AA71" i="2" s="1"/>
  <c r="AA72" i="2" s="1"/>
  <c r="AA73" i="2" s="1"/>
  <c r="L18" i="2"/>
  <c r="M63" i="2"/>
  <c r="J63" i="2"/>
  <c r="I63" i="2"/>
  <c r="BJ58" i="2"/>
  <c r="BJ59" i="2" s="1"/>
  <c r="BI58" i="2"/>
  <c r="BI59" i="2" s="1"/>
  <c r="BH58" i="2"/>
  <c r="BH59" i="2" s="1"/>
  <c r="AU58" i="2"/>
  <c r="AU59" i="2" s="1"/>
  <c r="AT58" i="2"/>
  <c r="AT59" i="2" s="1"/>
  <c r="AK58" i="2"/>
  <c r="AK59" i="2" s="1"/>
  <c r="AI58" i="2"/>
  <c r="AI59" i="2" s="1"/>
  <c r="AH58" i="2"/>
  <c r="AH59" i="2" s="1"/>
  <c r="U58" i="2"/>
  <c r="U59" i="2" s="1"/>
  <c r="M58" i="2"/>
  <c r="M59" i="2" s="1"/>
  <c r="L17" i="2"/>
  <c r="S17" i="2" s="1"/>
  <c r="K58" i="2"/>
  <c r="K59" i="2" s="1"/>
  <c r="H58" i="2"/>
  <c r="H59" i="2" s="1"/>
  <c r="BI16" i="2"/>
  <c r="AU16" i="2"/>
  <c r="AU89" i="2" s="1"/>
  <c r="AN16" i="2"/>
  <c r="AK16" i="2"/>
  <c r="AG29" i="2"/>
  <c r="AA16" i="2"/>
  <c r="AA17" i="2" s="1"/>
  <c r="AA15" i="2"/>
  <c r="BA14" i="2"/>
  <c r="BA15" i="2" s="1"/>
  <c r="BA16" i="2" s="1"/>
  <c r="BA17" i="2" s="1"/>
  <c r="BA18" i="2" s="1"/>
  <c r="BA19" i="2" s="1"/>
  <c r="BA20" i="2" s="1"/>
  <c r="BA21" i="2" s="1"/>
  <c r="BA22" i="2" s="1"/>
  <c r="BA23" i="2" s="1"/>
  <c r="BA24" i="2" s="1"/>
  <c r="BA25" i="2" s="1"/>
  <c r="BA26" i="2" s="1"/>
  <c r="BA27" i="2" s="1"/>
  <c r="BA28" i="2" s="1"/>
  <c r="BA29" i="2" s="1"/>
  <c r="BA30" i="2" s="1"/>
  <c r="BA31" i="2" s="1"/>
  <c r="BA32" i="2" s="1"/>
  <c r="BA33" i="2" s="1"/>
  <c r="BA34" i="2" s="1"/>
  <c r="BA35" i="2" s="1"/>
  <c r="BA36" i="2" s="1"/>
  <c r="BA37" i="2" s="1"/>
  <c r="BA38" i="2" s="1"/>
  <c r="BA39" i="2" s="1"/>
  <c r="BA40" i="2" s="1"/>
  <c r="BA41" i="2" s="1"/>
  <c r="BA42" i="2" s="1"/>
  <c r="BA43" i="2" s="1"/>
  <c r="BA44" i="2" s="1"/>
  <c r="BA45" i="2" s="1"/>
  <c r="BA46" i="2" s="1"/>
  <c r="BA47" i="2" s="1"/>
  <c r="BA48" i="2" s="1"/>
  <c r="BA49" i="2" s="1"/>
  <c r="BA50" i="2" s="1"/>
  <c r="BA51" i="2" s="1"/>
  <c r="BA52" i="2" s="1"/>
  <c r="BA53" i="2" s="1"/>
  <c r="BA54" i="2" s="1"/>
  <c r="BA55" i="2" s="1"/>
  <c r="BA56" i="2" s="1"/>
  <c r="BA57" i="2" s="1"/>
  <c r="BA58" i="2" s="1"/>
  <c r="BA59" i="2" s="1"/>
  <c r="BA60" i="2" s="1"/>
  <c r="BA61" i="2" s="1"/>
  <c r="BA62" i="2" s="1"/>
  <c r="BA63" i="2" s="1"/>
  <c r="BA64" i="2" s="1"/>
  <c r="BA65" i="2" s="1"/>
  <c r="BA66" i="2" s="1"/>
  <c r="BA67" i="2" s="1"/>
  <c r="BA68" i="2" s="1"/>
  <c r="BA69" i="2" s="1"/>
  <c r="BA70" i="2" s="1"/>
  <c r="BA71" i="2" s="1"/>
  <c r="BA72" i="2" s="1"/>
  <c r="BA73" i="2" s="1"/>
  <c r="AA14" i="2"/>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BH9" i="2"/>
  <c r="BI9" i="2" s="1"/>
  <c r="BJ9" i="2" s="1"/>
  <c r="BK9" i="2" s="1"/>
  <c r="BL9" i="2" s="1"/>
  <c r="BM9" i="2" s="1"/>
  <c r="BN9" i="2" s="1"/>
  <c r="BO9" i="2" s="1"/>
  <c r="AI9" i="2"/>
  <c r="AJ9" i="2" s="1"/>
  <c r="AK9" i="2" s="1"/>
  <c r="AL9" i="2" s="1"/>
  <c r="AM9" i="2" s="1"/>
  <c r="AN9" i="2" s="1"/>
  <c r="AO9" i="2" s="1"/>
  <c r="AH9" i="2"/>
  <c r="H9" i="2"/>
  <c r="I9" i="2" s="1"/>
  <c r="J9" i="2" s="1"/>
  <c r="K9" i="2" s="1"/>
  <c r="L9" i="2" s="1"/>
  <c r="M9" i="2" s="1"/>
  <c r="N9" i="2" s="1"/>
  <c r="O9" i="2" s="1"/>
  <c r="K216" i="6"/>
  <c r="L216" i="6" s="1"/>
  <c r="L214" i="6" s="1"/>
  <c r="K214" i="6"/>
  <c r="H214" i="6"/>
  <c r="F214" i="6"/>
  <c r="D214" i="6"/>
  <c r="F210" i="6"/>
  <c r="E210" i="6"/>
  <c r="D210" i="6"/>
  <c r="F209" i="6"/>
  <c r="E209" i="6"/>
  <c r="D209" i="6"/>
  <c r="F208" i="6"/>
  <c r="E208" i="6"/>
  <c r="D208" i="6"/>
  <c r="F207" i="6"/>
  <c r="E207" i="6"/>
  <c r="D207" i="6"/>
  <c r="F206" i="6"/>
  <c r="E206" i="6"/>
  <c r="D206" i="6"/>
  <c r="F205" i="6"/>
  <c r="E205" i="6"/>
  <c r="D205" i="6"/>
  <c r="F204" i="6"/>
  <c r="E204" i="6"/>
  <c r="D204" i="6"/>
  <c r="F203" i="6"/>
  <c r="E203" i="6"/>
  <c r="D203" i="6"/>
  <c r="F202" i="6"/>
  <c r="E202" i="6"/>
  <c r="D202" i="6"/>
  <c r="F201" i="6"/>
  <c r="E201" i="6"/>
  <c r="D201" i="6"/>
  <c r="F200" i="6"/>
  <c r="E200" i="6"/>
  <c r="D200" i="6"/>
  <c r="F199" i="6"/>
  <c r="E199" i="6"/>
  <c r="D199" i="6"/>
  <c r="I190" i="6"/>
  <c r="I189" i="6"/>
  <c r="O186" i="6"/>
  <c r="P186" i="6" s="1"/>
  <c r="N186" i="6"/>
  <c r="M186" i="6"/>
  <c r="S186" i="6" s="1"/>
  <c r="L186" i="6"/>
  <c r="K186" i="6"/>
  <c r="J186" i="6"/>
  <c r="I186" i="6"/>
  <c r="H186" i="6"/>
  <c r="G186" i="6"/>
  <c r="F186" i="6"/>
  <c r="P185" i="6"/>
  <c r="O185" i="6"/>
  <c r="N185" i="6"/>
  <c r="M185" i="6"/>
  <c r="S185" i="6" s="1"/>
  <c r="T185" i="6" s="1"/>
  <c r="U185" i="6" s="1"/>
  <c r="L185" i="6"/>
  <c r="K185" i="6"/>
  <c r="J185" i="6"/>
  <c r="I185" i="6"/>
  <c r="H185" i="6"/>
  <c r="G185" i="6"/>
  <c r="F185" i="6"/>
  <c r="S184" i="6"/>
  <c r="P184" i="6"/>
  <c r="O184" i="6"/>
  <c r="N184" i="6"/>
  <c r="M184" i="6"/>
  <c r="L184" i="6"/>
  <c r="K184" i="6"/>
  <c r="J184" i="6"/>
  <c r="I184" i="6"/>
  <c r="H184" i="6"/>
  <c r="G184" i="6"/>
  <c r="F184" i="6"/>
  <c r="AM171" i="6"/>
  <c r="X171" i="6"/>
  <c r="T171" i="6"/>
  <c r="G171" i="6"/>
  <c r="AM170" i="6"/>
  <c r="O170" i="6"/>
  <c r="N170" i="6"/>
  <c r="AM169" i="6"/>
  <c r="X169" i="6"/>
  <c r="AM168" i="6"/>
  <c r="S168" i="6"/>
  <c r="R168" i="6"/>
  <c r="Q168" i="6"/>
  <c r="M168" i="6"/>
  <c r="L168" i="6"/>
  <c r="AM167" i="6"/>
  <c r="X167" i="6"/>
  <c r="W167" i="6"/>
  <c r="N167" i="6"/>
  <c r="AM166" i="6"/>
  <c r="R166" i="6"/>
  <c r="Q166" i="6"/>
  <c r="I166" i="6"/>
  <c r="AM165" i="6"/>
  <c r="O165" i="6"/>
  <c r="M165" i="6"/>
  <c r="J165" i="6"/>
  <c r="AM164" i="6"/>
  <c r="AM172" i="6" s="1"/>
  <c r="Q164" i="6"/>
  <c r="O164" i="6"/>
  <c r="K164" i="6"/>
  <c r="AM163" i="6"/>
  <c r="J163" i="6"/>
  <c r="I163" i="6"/>
  <c r="F163" i="6"/>
  <c r="AM162" i="6"/>
  <c r="M162" i="6"/>
  <c r="I162" i="6"/>
  <c r="F162" i="6"/>
  <c r="AM161" i="6"/>
  <c r="J161" i="6"/>
  <c r="I161" i="6"/>
  <c r="AM160" i="6"/>
  <c r="J160" i="6"/>
  <c r="AM156" i="6"/>
  <c r="F156" i="6"/>
  <c r="AM155" i="6"/>
  <c r="M155" i="6"/>
  <c r="L155" i="6"/>
  <c r="AM154" i="6"/>
  <c r="Y154" i="6"/>
  <c r="H154" i="6"/>
  <c r="AM153" i="6"/>
  <c r="J153" i="6"/>
  <c r="AM152" i="6"/>
  <c r="AM151" i="6"/>
  <c r="H151" i="6"/>
  <c r="AM150" i="6"/>
  <c r="AM149" i="6"/>
  <c r="AM148" i="6"/>
  <c r="AM147" i="6"/>
  <c r="U147" i="6"/>
  <c r="M147" i="6"/>
  <c r="AM146" i="6"/>
  <c r="W146" i="6"/>
  <c r="V146" i="6"/>
  <c r="AM145" i="6"/>
  <c r="AM141" i="6"/>
  <c r="N141" i="6"/>
  <c r="AM140" i="6"/>
  <c r="AM139" i="6"/>
  <c r="AM138" i="6"/>
  <c r="Y138" i="6"/>
  <c r="AM137" i="6"/>
  <c r="R137" i="6"/>
  <c r="F137" i="6"/>
  <c r="AM136" i="6"/>
  <c r="AM135" i="6"/>
  <c r="AM134" i="6"/>
  <c r="X134" i="6"/>
  <c r="AM133" i="6"/>
  <c r="AM132" i="6"/>
  <c r="I132" i="6"/>
  <c r="H132" i="6"/>
  <c r="G132" i="6"/>
  <c r="AM131" i="6"/>
  <c r="AM142" i="6" s="1"/>
  <c r="M131" i="6"/>
  <c r="AM130" i="6"/>
  <c r="AK121" i="6"/>
  <c r="AJ121" i="6"/>
  <c r="AF121" i="6"/>
  <c r="AD121" i="6"/>
  <c r="AC121" i="6"/>
  <c r="AI121" i="6"/>
  <c r="AA121" i="6"/>
  <c r="P121" i="6"/>
  <c r="AH121" i="6"/>
  <c r="AG121" i="6"/>
  <c r="AK120" i="6"/>
  <c r="AG120" i="6"/>
  <c r="AL120" i="6"/>
  <c r="AJ120" i="6"/>
  <c r="AI120" i="6"/>
  <c r="AF120" i="6"/>
  <c r="AD120" i="6"/>
  <c r="P120" i="6"/>
  <c r="AJ119" i="6"/>
  <c r="AI119" i="6"/>
  <c r="AH119" i="6"/>
  <c r="AG119" i="6"/>
  <c r="AF119" i="6"/>
  <c r="AE119" i="6"/>
  <c r="AD119" i="6"/>
  <c r="AJ118" i="6"/>
  <c r="AF118" i="6"/>
  <c r="AD118" i="6"/>
  <c r="AL118" i="6"/>
  <c r="AC118" i="6"/>
  <c r="AI118" i="6"/>
  <c r="AG118" i="6"/>
  <c r="AE118" i="6"/>
  <c r="P118" i="6"/>
  <c r="AJ117" i="6"/>
  <c r="AA117" i="6"/>
  <c r="AK117" i="6"/>
  <c r="AI117" i="6"/>
  <c r="AF117" i="6"/>
  <c r="AE117" i="6"/>
  <c r="P117" i="6"/>
  <c r="AJ116" i="6"/>
  <c r="AI116" i="6"/>
  <c r="AH116" i="6"/>
  <c r="AG116" i="6"/>
  <c r="AF116" i="6"/>
  <c r="AE116" i="6"/>
  <c r="AD116" i="6"/>
  <c r="AC116" i="6"/>
  <c r="AL116" i="6"/>
  <c r="AK116" i="6"/>
  <c r="AK115" i="6"/>
  <c r="AG115" i="6"/>
  <c r="AF115" i="6"/>
  <c r="AE115" i="6"/>
  <c r="AI115" i="6"/>
  <c r="K165" i="6"/>
  <c r="AD115" i="6"/>
  <c r="AA114" i="6"/>
  <c r="AL114" i="6"/>
  <c r="AK114" i="6"/>
  <c r="AJ114" i="6"/>
  <c r="AI114" i="6"/>
  <c r="AH114" i="6"/>
  <c r="AG114" i="6"/>
  <c r="AF114" i="6"/>
  <c r="AE114" i="6"/>
  <c r="AD114" i="6"/>
  <c r="P114" i="6"/>
  <c r="AG113" i="6"/>
  <c r="AF113" i="6"/>
  <c r="AI113" i="6"/>
  <c r="AH113" i="6"/>
  <c r="AE113" i="6"/>
  <c r="AC113" i="6"/>
  <c r="P113" i="6"/>
  <c r="AL113" i="6"/>
  <c r="AK113" i="6"/>
  <c r="AJ113" i="6"/>
  <c r="AK112" i="6"/>
  <c r="AH112" i="6"/>
  <c r="AG112" i="6"/>
  <c r="AF112" i="6"/>
  <c r="AE112" i="6"/>
  <c r="AJ112" i="6"/>
  <c r="P112" i="6"/>
  <c r="AD112" i="6"/>
  <c r="AC112" i="6"/>
  <c r="AL111" i="6"/>
  <c r="AK111" i="6"/>
  <c r="AI111" i="6"/>
  <c r="AH111" i="6"/>
  <c r="AG111" i="6"/>
  <c r="AE111" i="6"/>
  <c r="AD111" i="6"/>
  <c r="H123" i="6"/>
  <c r="AK110" i="6"/>
  <c r="AH110" i="6"/>
  <c r="AF110" i="6"/>
  <c r="AE110" i="6"/>
  <c r="AL110" i="6"/>
  <c r="AD110" i="6"/>
  <c r="M123" i="6"/>
  <c r="AI110" i="6"/>
  <c r="U108" i="6"/>
  <c r="I108" i="6"/>
  <c r="AJ106" i="6"/>
  <c r="AI106" i="6"/>
  <c r="AL106" i="6"/>
  <c r="AH106" i="6"/>
  <c r="AG106" i="6"/>
  <c r="AF106" i="6"/>
  <c r="AE106" i="6"/>
  <c r="AD106" i="6"/>
  <c r="P106" i="6"/>
  <c r="AD105" i="6"/>
  <c r="AC105" i="6"/>
  <c r="AL105" i="6"/>
  <c r="AE105" i="6"/>
  <c r="AA105" i="6"/>
  <c r="AK105" i="6"/>
  <c r="AJ105" i="6"/>
  <c r="AI105" i="6"/>
  <c r="AH105" i="6"/>
  <c r="AG105" i="6"/>
  <c r="AF105" i="6"/>
  <c r="AK104" i="6"/>
  <c r="AG104" i="6"/>
  <c r="AJ104" i="6"/>
  <c r="AF104" i="6"/>
  <c r="AE104" i="6"/>
  <c r="L154" i="6"/>
  <c r="P104" i="6"/>
  <c r="AD104" i="6"/>
  <c r="AC104" i="6"/>
  <c r="AI103" i="6"/>
  <c r="AH103" i="6"/>
  <c r="AD103" i="6"/>
  <c r="AK103" i="6"/>
  <c r="AJ103" i="6"/>
  <c r="AG103" i="6"/>
  <c r="AF103" i="6"/>
  <c r="AE103" i="6"/>
  <c r="AL103" i="6"/>
  <c r="AL102" i="6"/>
  <c r="AJ102" i="6"/>
  <c r="AF102" i="6"/>
  <c r="AE102" i="6"/>
  <c r="AD102" i="6"/>
  <c r="AI102" i="6"/>
  <c r="AH102" i="6"/>
  <c r="AJ101" i="6"/>
  <c r="AK101" i="6"/>
  <c r="AI101" i="6"/>
  <c r="AH101" i="6"/>
  <c r="AG101" i="6"/>
  <c r="AD101" i="6"/>
  <c r="AE101" i="6"/>
  <c r="AL100" i="6"/>
  <c r="AJ100" i="6"/>
  <c r="AI100" i="6"/>
  <c r="AH100" i="6"/>
  <c r="AG100" i="6"/>
  <c r="AF100" i="6"/>
  <c r="AE100" i="6"/>
  <c r="AD100" i="6"/>
  <c r="AK100" i="6"/>
  <c r="P100" i="6"/>
  <c r="AL99" i="6"/>
  <c r="AK99" i="6"/>
  <c r="AI99" i="6"/>
  <c r="AF99" i="6"/>
  <c r="AE99" i="6"/>
  <c r="AD99" i="6"/>
  <c r="AJ99" i="6"/>
  <c r="AG99" i="6"/>
  <c r="P99" i="6"/>
  <c r="AH99" i="6"/>
  <c r="AE98" i="6"/>
  <c r="AA98" i="6"/>
  <c r="AL98" i="6"/>
  <c r="AK98" i="6"/>
  <c r="AJ98" i="6"/>
  <c r="AI98" i="6"/>
  <c r="AH98" i="6"/>
  <c r="AG98" i="6"/>
  <c r="AD98" i="6"/>
  <c r="P98" i="6"/>
  <c r="AJ97" i="6"/>
  <c r="AI97" i="6"/>
  <c r="AH97" i="6"/>
  <c r="AG97" i="6"/>
  <c r="AF97" i="6"/>
  <c r="AE97" i="6"/>
  <c r="AD97" i="6"/>
  <c r="AL97" i="6"/>
  <c r="P97" i="6"/>
  <c r="AK96" i="6"/>
  <c r="AH96" i="6"/>
  <c r="AE96" i="6"/>
  <c r="AJ96" i="6"/>
  <c r="AG96" i="6"/>
  <c r="AD96" i="6"/>
  <c r="AD95" i="6"/>
  <c r="AL95" i="6"/>
  <c r="AK95" i="6"/>
  <c r="AI95" i="6"/>
  <c r="AH95" i="6"/>
  <c r="AG95" i="6"/>
  <c r="AE95" i="6"/>
  <c r="M108" i="6"/>
  <c r="P95" i="6"/>
  <c r="M93" i="6"/>
  <c r="K93" i="6"/>
  <c r="AL91" i="6"/>
  <c r="AK91" i="6"/>
  <c r="AJ91" i="6"/>
  <c r="AH91" i="6"/>
  <c r="AF91" i="6"/>
  <c r="AE91" i="6"/>
  <c r="AG91" i="6"/>
  <c r="AJ90" i="6"/>
  <c r="AF90" i="6"/>
  <c r="AE90" i="6"/>
  <c r="AI90" i="6"/>
  <c r="AH90" i="6"/>
  <c r="AD90" i="6"/>
  <c r="AC90" i="6"/>
  <c r="AL90" i="6"/>
  <c r="AK90" i="6"/>
  <c r="AJ89" i="6"/>
  <c r="AI89" i="6"/>
  <c r="AH89" i="6"/>
  <c r="AE89" i="6"/>
  <c r="AL89" i="6"/>
  <c r="AK89" i="6"/>
  <c r="AF89" i="6"/>
  <c r="AG89" i="6"/>
  <c r="AD89" i="6"/>
  <c r="F139" i="6"/>
  <c r="AL88" i="6"/>
  <c r="AI88" i="6"/>
  <c r="AH88" i="6"/>
  <c r="AC88" i="6"/>
  <c r="AG88" i="6"/>
  <c r="AF88" i="6"/>
  <c r="AD88" i="6"/>
  <c r="AA88" i="6"/>
  <c r="AM88" i="6" s="1"/>
  <c r="AJ88" i="6"/>
  <c r="P88" i="6"/>
  <c r="AK87" i="6"/>
  <c r="AF87" i="6"/>
  <c r="AL87" i="6"/>
  <c r="AA87" i="6"/>
  <c r="AD87" i="6"/>
  <c r="AJ87" i="6"/>
  <c r="AI87" i="6"/>
  <c r="AH87" i="6"/>
  <c r="AG87" i="6"/>
  <c r="H137" i="6"/>
  <c r="AH86" i="6"/>
  <c r="AD86" i="6"/>
  <c r="AL86" i="6"/>
  <c r="AK86" i="6"/>
  <c r="AJ86" i="6"/>
  <c r="AI86" i="6"/>
  <c r="AG86" i="6"/>
  <c r="AF86" i="6"/>
  <c r="AL85" i="6"/>
  <c r="AK85" i="6"/>
  <c r="AI85" i="6"/>
  <c r="AH85" i="6"/>
  <c r="AG85" i="6"/>
  <c r="AJ85" i="6"/>
  <c r="AF85" i="6"/>
  <c r="AE85" i="6"/>
  <c r="AD85" i="6"/>
  <c r="AC85" i="6"/>
  <c r="P85" i="6"/>
  <c r="AJ84" i="6"/>
  <c r="AE84" i="6"/>
  <c r="AK84" i="6"/>
  <c r="AC84" i="6"/>
  <c r="AI84" i="6"/>
  <c r="AH84" i="6"/>
  <c r="AG84" i="6"/>
  <c r="AF84" i="6"/>
  <c r="G134" i="6"/>
  <c r="AG83" i="6"/>
  <c r="AC83" i="6"/>
  <c r="AL83" i="6"/>
  <c r="AK83" i="6"/>
  <c r="AJ83" i="6"/>
  <c r="AI83" i="6"/>
  <c r="AH83" i="6"/>
  <c r="AF83" i="6"/>
  <c r="AD83" i="6"/>
  <c r="P83" i="6"/>
  <c r="AL82" i="6"/>
  <c r="AK82" i="6"/>
  <c r="AJ82" i="6"/>
  <c r="AH82" i="6"/>
  <c r="AG82" i="6"/>
  <c r="AF82" i="6"/>
  <c r="AI82" i="6"/>
  <c r="T93" i="6"/>
  <c r="AE82" i="6"/>
  <c r="P82" i="6"/>
  <c r="AI81" i="6"/>
  <c r="AH81" i="6"/>
  <c r="AF81" i="6"/>
  <c r="AD81" i="6"/>
  <c r="AL81" i="6"/>
  <c r="AJ81" i="6"/>
  <c r="AE81" i="6"/>
  <c r="AG81" i="6"/>
  <c r="AG80" i="6"/>
  <c r="AF80" i="6"/>
  <c r="AE80" i="6"/>
  <c r="AL80" i="6"/>
  <c r="AK80" i="6"/>
  <c r="AJ80" i="6"/>
  <c r="W73" i="6"/>
  <c r="U73" i="6"/>
  <c r="AJ71" i="6"/>
  <c r="AI71" i="6"/>
  <c r="AF71" i="6"/>
  <c r="AE71" i="6"/>
  <c r="Z171" i="6"/>
  <c r="Y171" i="6"/>
  <c r="W171" i="6"/>
  <c r="U171" i="6"/>
  <c r="S171" i="6"/>
  <c r="R171" i="6"/>
  <c r="Q171" i="6"/>
  <c r="AL71" i="6"/>
  <c r="N171" i="6"/>
  <c r="M171" i="6"/>
  <c r="L171" i="6"/>
  <c r="K171" i="6"/>
  <c r="J171" i="6"/>
  <c r="I171" i="6"/>
  <c r="H171" i="6"/>
  <c r="AD71" i="6"/>
  <c r="F171" i="6"/>
  <c r="AK70" i="6"/>
  <c r="AI70" i="6"/>
  <c r="AD70" i="6"/>
  <c r="AC70" i="6"/>
  <c r="AL70" i="6"/>
  <c r="Y170" i="6"/>
  <c r="X170" i="6"/>
  <c r="AH70" i="6"/>
  <c r="Q170" i="6"/>
  <c r="M170" i="6"/>
  <c r="L170" i="6"/>
  <c r="K170" i="6"/>
  <c r="J170" i="6"/>
  <c r="H170" i="6"/>
  <c r="G170" i="6"/>
  <c r="AK69" i="6"/>
  <c r="AG69" i="6"/>
  <c r="AD69" i="6"/>
  <c r="Z169" i="6"/>
  <c r="W169" i="6"/>
  <c r="V169" i="6"/>
  <c r="U169" i="6"/>
  <c r="AF69" i="6"/>
  <c r="S169" i="6"/>
  <c r="R169" i="6"/>
  <c r="N169" i="6"/>
  <c r="M169" i="6"/>
  <c r="L169" i="6"/>
  <c r="K169" i="6"/>
  <c r="J169" i="6"/>
  <c r="I169" i="6"/>
  <c r="H169" i="6"/>
  <c r="G169" i="6"/>
  <c r="F169" i="6"/>
  <c r="AJ68" i="6"/>
  <c r="AI68" i="6"/>
  <c r="AH68" i="6"/>
  <c r="AE68" i="6"/>
  <c r="AD68" i="6"/>
  <c r="Y168" i="6"/>
  <c r="X168" i="6"/>
  <c r="W168" i="6"/>
  <c r="U168" i="6"/>
  <c r="O168" i="6"/>
  <c r="N168" i="6"/>
  <c r="K168" i="6"/>
  <c r="J168" i="6"/>
  <c r="G168" i="6"/>
  <c r="AL67" i="6"/>
  <c r="AA67" i="6"/>
  <c r="Z167" i="6"/>
  <c r="AK67" i="6"/>
  <c r="AI67" i="6"/>
  <c r="R167" i="6"/>
  <c r="Q167" i="6"/>
  <c r="O167" i="6"/>
  <c r="M167" i="6"/>
  <c r="L167" i="6"/>
  <c r="I167" i="6"/>
  <c r="H167" i="6"/>
  <c r="G167" i="6"/>
  <c r="AC67" i="6"/>
  <c r="AJ66" i="6"/>
  <c r="AG66" i="6"/>
  <c r="AC66" i="6"/>
  <c r="AA66" i="6"/>
  <c r="Y166" i="6"/>
  <c r="X166" i="6"/>
  <c r="W166" i="6"/>
  <c r="V166" i="6"/>
  <c r="U166" i="6"/>
  <c r="S166" i="6"/>
  <c r="AD66" i="6"/>
  <c r="O166" i="6"/>
  <c r="N166" i="6"/>
  <c r="M166" i="6"/>
  <c r="L166" i="6"/>
  <c r="J166" i="6"/>
  <c r="H166" i="6"/>
  <c r="G166" i="6"/>
  <c r="F166" i="6"/>
  <c r="AI65" i="6"/>
  <c r="AH65" i="6"/>
  <c r="AG65" i="6"/>
  <c r="W165" i="6"/>
  <c r="V165" i="6"/>
  <c r="U165" i="6"/>
  <c r="R165" i="6"/>
  <c r="Q165" i="6"/>
  <c r="N165" i="6"/>
  <c r="L165" i="6"/>
  <c r="I165" i="6"/>
  <c r="H165" i="6"/>
  <c r="G165" i="6"/>
  <c r="AL64" i="6"/>
  <c r="AK64" i="6"/>
  <c r="AH64" i="6"/>
  <c r="AC64" i="6"/>
  <c r="AA64" i="6"/>
  <c r="Z164" i="6"/>
  <c r="Y164" i="6"/>
  <c r="X164" i="6"/>
  <c r="W164" i="6"/>
  <c r="V164" i="6"/>
  <c r="U164" i="6"/>
  <c r="N164" i="6"/>
  <c r="M164" i="6"/>
  <c r="J164" i="6"/>
  <c r="I164" i="6"/>
  <c r="H164" i="6"/>
  <c r="AE63" i="6"/>
  <c r="X163" i="6"/>
  <c r="W163" i="6"/>
  <c r="U163" i="6"/>
  <c r="T163" i="6"/>
  <c r="S163" i="6"/>
  <c r="R163" i="6"/>
  <c r="Q163" i="6"/>
  <c r="O163" i="6"/>
  <c r="N163" i="6"/>
  <c r="M163" i="6"/>
  <c r="AJ163" i="6" s="1"/>
  <c r="L163" i="6"/>
  <c r="AH63" i="6"/>
  <c r="AG63" i="6"/>
  <c r="H163" i="6"/>
  <c r="G163" i="6"/>
  <c r="AI62" i="6"/>
  <c r="AH62" i="6"/>
  <c r="AG62" i="6"/>
  <c r="AF62" i="6"/>
  <c r="AK62" i="6"/>
  <c r="W162" i="6"/>
  <c r="V162" i="6"/>
  <c r="U162" i="6"/>
  <c r="Q162" i="6"/>
  <c r="N162" i="6"/>
  <c r="K162" i="6"/>
  <c r="J162" i="6"/>
  <c r="H162" i="6"/>
  <c r="G162" i="6"/>
  <c r="AL61" i="6"/>
  <c r="AK61" i="6"/>
  <c r="AH61" i="6"/>
  <c r="AG61" i="6"/>
  <c r="AF61" i="6"/>
  <c r="Z161" i="6"/>
  <c r="Y161" i="6"/>
  <c r="X161" i="6"/>
  <c r="U161" i="6"/>
  <c r="T161" i="6"/>
  <c r="AF161" i="6" s="1"/>
  <c r="O161" i="6"/>
  <c r="N161" i="6"/>
  <c r="M161" i="6"/>
  <c r="L161" i="6"/>
  <c r="K161" i="6"/>
  <c r="H161" i="6"/>
  <c r="G161" i="6"/>
  <c r="F161" i="6"/>
  <c r="AL60" i="6"/>
  <c r="Y160" i="6"/>
  <c r="W160" i="6"/>
  <c r="V160" i="6"/>
  <c r="U160" i="6"/>
  <c r="T160" i="6"/>
  <c r="S160" i="6"/>
  <c r="R160" i="6"/>
  <c r="O160" i="6"/>
  <c r="N160" i="6"/>
  <c r="K160" i="6"/>
  <c r="AG60" i="6"/>
  <c r="I160" i="6"/>
  <c r="H160" i="6"/>
  <c r="G160" i="6"/>
  <c r="AH56" i="6"/>
  <c r="AG56" i="6"/>
  <c r="AE56" i="6"/>
  <c r="AC56" i="6"/>
  <c r="Z156" i="6"/>
  <c r="Y156" i="6"/>
  <c r="X156" i="6"/>
  <c r="W156" i="6"/>
  <c r="V156" i="6"/>
  <c r="U156" i="6"/>
  <c r="AL56" i="6"/>
  <c r="AK56" i="6"/>
  <c r="M156" i="6"/>
  <c r="L156" i="6"/>
  <c r="K156" i="6"/>
  <c r="J156" i="6"/>
  <c r="H156" i="6"/>
  <c r="G156" i="6"/>
  <c r="AI55" i="6"/>
  <c r="AF55" i="6"/>
  <c r="AE55" i="6"/>
  <c r="AD55" i="6"/>
  <c r="Z155" i="6"/>
  <c r="Y155" i="6"/>
  <c r="X155" i="6"/>
  <c r="AJ155" i="6" s="1"/>
  <c r="W155" i="6"/>
  <c r="V155" i="6"/>
  <c r="T155" i="6"/>
  <c r="R155" i="6"/>
  <c r="AD155" i="6" s="1"/>
  <c r="Q155" i="6"/>
  <c r="AC155" i="6" s="1"/>
  <c r="O155" i="6"/>
  <c r="N155" i="6"/>
  <c r="AJ55" i="6"/>
  <c r="K155" i="6"/>
  <c r="J155" i="6"/>
  <c r="I155" i="6"/>
  <c r="G155" i="6"/>
  <c r="F155" i="6"/>
  <c r="AK54" i="6"/>
  <c r="AI54" i="6"/>
  <c r="AE54" i="6"/>
  <c r="AD54" i="6"/>
  <c r="X154" i="6"/>
  <c r="W154" i="6"/>
  <c r="S154" i="6"/>
  <c r="Q154" i="6"/>
  <c r="O154" i="6"/>
  <c r="N154" i="6"/>
  <c r="M154" i="6"/>
  <c r="J154" i="6"/>
  <c r="G154" i="6"/>
  <c r="F154" i="6"/>
  <c r="AK53" i="6"/>
  <c r="AD53" i="6"/>
  <c r="Z153" i="6"/>
  <c r="W153" i="6"/>
  <c r="V153" i="6"/>
  <c r="U153" i="6"/>
  <c r="AF53" i="6"/>
  <c r="R153" i="6"/>
  <c r="Q153" i="6"/>
  <c r="O153" i="6"/>
  <c r="M153" i="6"/>
  <c r="L153" i="6"/>
  <c r="K153" i="6"/>
  <c r="I153" i="6"/>
  <c r="H153" i="6"/>
  <c r="G153" i="6"/>
  <c r="F153" i="6"/>
  <c r="AK52" i="6"/>
  <c r="AJ52" i="6"/>
  <c r="Y152" i="6"/>
  <c r="AK152" i="6" s="1"/>
  <c r="X152" i="6"/>
  <c r="W152" i="6"/>
  <c r="U152" i="6"/>
  <c r="S152" i="6"/>
  <c r="R152" i="6"/>
  <c r="Q152" i="6"/>
  <c r="O152" i="6"/>
  <c r="N152" i="6"/>
  <c r="M152" i="6"/>
  <c r="I152" i="6"/>
  <c r="H152" i="6"/>
  <c r="G152" i="6"/>
  <c r="F152" i="6"/>
  <c r="AJ51" i="6"/>
  <c r="AI51" i="6"/>
  <c r="AH51" i="6"/>
  <c r="AG51" i="6"/>
  <c r="AC51" i="6"/>
  <c r="Z151" i="6"/>
  <c r="X151" i="6"/>
  <c r="V151" i="6"/>
  <c r="U151" i="6"/>
  <c r="R151" i="6"/>
  <c r="Q151" i="6"/>
  <c r="O151" i="6"/>
  <c r="N151" i="6"/>
  <c r="M151" i="6"/>
  <c r="L151" i="6"/>
  <c r="K151" i="6"/>
  <c r="J151" i="6"/>
  <c r="I151" i="6"/>
  <c r="G151" i="6"/>
  <c r="F151" i="6"/>
  <c r="AL50" i="6"/>
  <c r="AF50" i="6"/>
  <c r="Z150" i="6"/>
  <c r="Y150" i="6"/>
  <c r="X150" i="6"/>
  <c r="W150" i="6"/>
  <c r="V150" i="6"/>
  <c r="AH150" i="6" s="1"/>
  <c r="T150" i="6"/>
  <c r="AE50" i="6"/>
  <c r="O150" i="6"/>
  <c r="N150" i="6"/>
  <c r="L150" i="6"/>
  <c r="K150" i="6"/>
  <c r="J150" i="6"/>
  <c r="I150" i="6"/>
  <c r="G150" i="6"/>
  <c r="F150" i="6"/>
  <c r="AH49" i="6"/>
  <c r="AG49" i="6"/>
  <c r="AE49" i="6"/>
  <c r="AA49" i="6"/>
  <c r="W149" i="6"/>
  <c r="V149" i="6"/>
  <c r="AH149" i="6" s="1"/>
  <c r="T149" i="6"/>
  <c r="S149" i="6"/>
  <c r="R149" i="6"/>
  <c r="Q149" i="6"/>
  <c r="O149" i="6"/>
  <c r="N149" i="6"/>
  <c r="M149" i="6"/>
  <c r="L149" i="6"/>
  <c r="K149" i="6"/>
  <c r="J149" i="6"/>
  <c r="I149" i="6"/>
  <c r="H149" i="6"/>
  <c r="G149" i="6"/>
  <c r="AC49" i="6"/>
  <c r="Z148" i="6"/>
  <c r="Y148" i="6"/>
  <c r="X148" i="6"/>
  <c r="U148" i="6"/>
  <c r="T148" i="6"/>
  <c r="Q148" i="6"/>
  <c r="M148" i="6"/>
  <c r="L148" i="6"/>
  <c r="K148" i="6"/>
  <c r="J148" i="6"/>
  <c r="I148" i="6"/>
  <c r="H148" i="6"/>
  <c r="AC48" i="6"/>
  <c r="AL47" i="6"/>
  <c r="AK47" i="6"/>
  <c r="AG47" i="6"/>
  <c r="AC47" i="6"/>
  <c r="AA47" i="6"/>
  <c r="Z147" i="6"/>
  <c r="Y147" i="6"/>
  <c r="X147" i="6"/>
  <c r="W147" i="6"/>
  <c r="T147" i="6"/>
  <c r="S147" i="6"/>
  <c r="R147" i="6"/>
  <c r="Q147" i="6"/>
  <c r="K147" i="6"/>
  <c r="J147" i="6"/>
  <c r="I147" i="6"/>
  <c r="H147" i="6"/>
  <c r="G147" i="6"/>
  <c r="F147" i="6"/>
  <c r="AF46" i="6"/>
  <c r="AE46" i="6"/>
  <c r="AD46" i="6"/>
  <c r="Z146" i="6"/>
  <c r="S146" i="6"/>
  <c r="R146" i="6"/>
  <c r="Q146" i="6"/>
  <c r="N146" i="6"/>
  <c r="M146" i="6"/>
  <c r="L146" i="6"/>
  <c r="K146" i="6"/>
  <c r="J146" i="6"/>
  <c r="I146" i="6"/>
  <c r="H146" i="6"/>
  <c r="G146" i="6"/>
  <c r="F146" i="6"/>
  <c r="AJ45" i="6"/>
  <c r="AI45" i="6"/>
  <c r="AH45" i="6"/>
  <c r="Z145" i="6"/>
  <c r="Y145" i="6"/>
  <c r="W145" i="6"/>
  <c r="V145" i="6"/>
  <c r="U145" i="6"/>
  <c r="T145" i="6"/>
  <c r="S145" i="6"/>
  <c r="R58" i="6"/>
  <c r="O145" i="6"/>
  <c r="L145" i="6"/>
  <c r="K145" i="6"/>
  <c r="J145" i="6"/>
  <c r="I145" i="6"/>
  <c r="H145" i="6"/>
  <c r="G145" i="6"/>
  <c r="F145" i="6"/>
  <c r="M43" i="6"/>
  <c r="H43" i="6"/>
  <c r="AL41" i="6"/>
  <c r="Z141" i="6"/>
  <c r="AJ41" i="6"/>
  <c r="W141" i="6"/>
  <c r="T141" i="6"/>
  <c r="Q141" i="6"/>
  <c r="O141" i="6"/>
  <c r="AK41" i="6"/>
  <c r="M141" i="6"/>
  <c r="K141" i="6"/>
  <c r="J141" i="6"/>
  <c r="I141" i="6"/>
  <c r="H141" i="6"/>
  <c r="G141" i="6"/>
  <c r="AJ40" i="6"/>
  <c r="AI40" i="6"/>
  <c r="Z140" i="6"/>
  <c r="X140" i="6"/>
  <c r="W140" i="6"/>
  <c r="V140" i="6"/>
  <c r="U140" i="6"/>
  <c r="T140" i="6"/>
  <c r="S140" i="6"/>
  <c r="R140" i="6"/>
  <c r="Q140" i="6"/>
  <c r="N140" i="6"/>
  <c r="M140" i="6"/>
  <c r="L140" i="6"/>
  <c r="K140" i="6"/>
  <c r="J140" i="6"/>
  <c r="I140" i="6"/>
  <c r="H140" i="6"/>
  <c r="G140" i="6"/>
  <c r="F140" i="6"/>
  <c r="AH39" i="6"/>
  <c r="AG39" i="6"/>
  <c r="AC39" i="6"/>
  <c r="W139" i="6"/>
  <c r="V139" i="6"/>
  <c r="AH139" i="6" s="1"/>
  <c r="U139" i="6"/>
  <c r="S139" i="6"/>
  <c r="R139" i="6"/>
  <c r="Q139" i="6"/>
  <c r="O139" i="6"/>
  <c r="N139" i="6"/>
  <c r="M139" i="6"/>
  <c r="L139" i="6"/>
  <c r="K139" i="6"/>
  <c r="J139" i="6"/>
  <c r="I139" i="6"/>
  <c r="AL38" i="6"/>
  <c r="AK38" i="6"/>
  <c r="AA38" i="6"/>
  <c r="Z138" i="6"/>
  <c r="X138" i="6"/>
  <c r="W138" i="6"/>
  <c r="V138" i="6"/>
  <c r="S138" i="6"/>
  <c r="O138" i="6"/>
  <c r="N138" i="6"/>
  <c r="L138" i="6"/>
  <c r="K138" i="6"/>
  <c r="J138" i="6"/>
  <c r="I138" i="6"/>
  <c r="H138" i="6"/>
  <c r="G138" i="6"/>
  <c r="F138" i="6"/>
  <c r="AI37" i="6"/>
  <c r="AH37" i="6"/>
  <c r="Z137" i="6"/>
  <c r="Y137" i="6"/>
  <c r="X137" i="6"/>
  <c r="W137" i="6"/>
  <c r="V137" i="6"/>
  <c r="U137" i="6"/>
  <c r="T137" i="6"/>
  <c r="S137" i="6"/>
  <c r="AA37" i="6"/>
  <c r="Q137" i="6"/>
  <c r="O137" i="6"/>
  <c r="M137" i="6"/>
  <c r="K137" i="6"/>
  <c r="J137" i="6"/>
  <c r="AF37" i="6"/>
  <c r="G137" i="6"/>
  <c r="AC37" i="6"/>
  <c r="AG36" i="6"/>
  <c r="AF36" i="6"/>
  <c r="Y136" i="6"/>
  <c r="V136" i="6"/>
  <c r="T136" i="6"/>
  <c r="R136" i="6"/>
  <c r="Q136" i="6"/>
  <c r="O136" i="6"/>
  <c r="N136" i="6"/>
  <c r="M136" i="6"/>
  <c r="L136" i="6"/>
  <c r="K136" i="6"/>
  <c r="J136" i="6"/>
  <c r="I136" i="6"/>
  <c r="H136" i="6"/>
  <c r="G136" i="6"/>
  <c r="Z135" i="6"/>
  <c r="Y135" i="6"/>
  <c r="X135" i="6"/>
  <c r="W135" i="6"/>
  <c r="U135" i="6"/>
  <c r="R135" i="6"/>
  <c r="O135" i="6"/>
  <c r="N135" i="6"/>
  <c r="M135" i="6"/>
  <c r="L135" i="6"/>
  <c r="K135" i="6"/>
  <c r="AG35" i="6"/>
  <c r="I135" i="6"/>
  <c r="H135" i="6"/>
  <c r="G135" i="6"/>
  <c r="F135" i="6"/>
  <c r="AL34" i="6"/>
  <c r="AJ34" i="6"/>
  <c r="AH34" i="6"/>
  <c r="AD34" i="6"/>
  <c r="AC34" i="6"/>
  <c r="Y134" i="6"/>
  <c r="W134" i="6"/>
  <c r="V134" i="6"/>
  <c r="U134" i="6"/>
  <c r="T134" i="6"/>
  <c r="S134" i="6"/>
  <c r="R134" i="6"/>
  <c r="O134" i="6"/>
  <c r="N134" i="6"/>
  <c r="M134" i="6"/>
  <c r="L134" i="6"/>
  <c r="K134" i="6"/>
  <c r="J134" i="6"/>
  <c r="I134" i="6"/>
  <c r="H134" i="6"/>
  <c r="AF33" i="6"/>
  <c r="AE33" i="6"/>
  <c r="X133" i="6"/>
  <c r="AJ133" i="6" s="1"/>
  <c r="U133" i="6"/>
  <c r="S133" i="6"/>
  <c r="Q133" i="6"/>
  <c r="O133" i="6"/>
  <c r="N133" i="6"/>
  <c r="M133" i="6"/>
  <c r="L133" i="6"/>
  <c r="K133" i="6"/>
  <c r="J133" i="6"/>
  <c r="I133" i="6"/>
  <c r="H133" i="6"/>
  <c r="G133" i="6"/>
  <c r="AC33" i="6"/>
  <c r="AK32" i="6"/>
  <c r="Y132" i="6"/>
  <c r="X132" i="6"/>
  <c r="W132" i="6"/>
  <c r="V132" i="6"/>
  <c r="Q132" i="6"/>
  <c r="O132" i="6"/>
  <c r="N132" i="6"/>
  <c r="M132" i="6"/>
  <c r="L132" i="6"/>
  <c r="K132" i="6"/>
  <c r="J132" i="6"/>
  <c r="AF32" i="6"/>
  <c r="F132" i="6"/>
  <c r="AL31" i="6"/>
  <c r="AK31" i="6"/>
  <c r="AG31" i="6"/>
  <c r="AD31" i="6"/>
  <c r="AC31" i="6"/>
  <c r="AA31" i="6"/>
  <c r="Y131" i="6"/>
  <c r="AJ31" i="6"/>
  <c r="W131" i="6"/>
  <c r="V131" i="6"/>
  <c r="U131" i="6"/>
  <c r="T131" i="6"/>
  <c r="S131" i="6"/>
  <c r="R131" i="6"/>
  <c r="O131" i="6"/>
  <c r="L131" i="6"/>
  <c r="K131" i="6"/>
  <c r="I131" i="6"/>
  <c r="H131" i="6"/>
  <c r="G131" i="6"/>
  <c r="AE30" i="6"/>
  <c r="Z130" i="6"/>
  <c r="AA30" i="6"/>
  <c r="S130" i="6"/>
  <c r="O130" i="6"/>
  <c r="N130" i="6"/>
  <c r="L130" i="6"/>
  <c r="K130" i="6"/>
  <c r="I130" i="6"/>
  <c r="H130" i="6"/>
  <c r="F130" i="6"/>
  <c r="A25" i="6"/>
  <c r="A179" i="6" s="1"/>
  <c r="A193" i="6" s="1"/>
  <c r="A212" i="6" s="1"/>
  <c r="AC147" i="6" l="1"/>
  <c r="AD134" i="6"/>
  <c r="AE134" i="6"/>
  <c r="AS21" i="2"/>
  <c r="AL51" i="2"/>
  <c r="AE163" i="6"/>
  <c r="AK161" i="6"/>
  <c r="AI167" i="6"/>
  <c r="AH162" i="6"/>
  <c r="AG161" i="6"/>
  <c r="AJ132" i="6"/>
  <c r="AL151" i="6"/>
  <c r="AI140" i="6"/>
  <c r="AI132" i="6"/>
  <c r="AH138" i="6"/>
  <c r="AJ92" i="6"/>
  <c r="AE137" i="6"/>
  <c r="AE149" i="6"/>
  <c r="AL150" i="6"/>
  <c r="AI153" i="6"/>
  <c r="AG151" i="6"/>
  <c r="AH156" i="6"/>
  <c r="AF148" i="6"/>
  <c r="AG148" i="6"/>
  <c r="AJ148" i="6"/>
  <c r="AC146" i="6"/>
  <c r="AD146" i="6"/>
  <c r="AE107" i="6"/>
  <c r="AF150" i="6"/>
  <c r="AG139" i="6"/>
  <c r="AE138" i="6"/>
  <c r="AI149" i="6"/>
  <c r="AK155" i="6"/>
  <c r="AH146" i="6"/>
  <c r="AD149" i="6"/>
  <c r="AC153" i="6"/>
  <c r="AF145" i="6"/>
  <c r="AE146" i="6"/>
  <c r="AG153" i="6"/>
  <c r="AL53" i="2"/>
  <c r="AD152" i="6"/>
  <c r="AG147" i="6"/>
  <c r="AH151" i="6"/>
  <c r="AH134" i="6"/>
  <c r="AJ135" i="6"/>
  <c r="AC140" i="6"/>
  <c r="AF141" i="6"/>
  <c r="AK134" i="6"/>
  <c r="AK135" i="6"/>
  <c r="AD140" i="6"/>
  <c r="AL135" i="6"/>
  <c r="AE140" i="6"/>
  <c r="AF140" i="6"/>
  <c r="AL141" i="6"/>
  <c r="AG140" i="6"/>
  <c r="AG134" i="6"/>
  <c r="AI138" i="6"/>
  <c r="AJ140" i="6"/>
  <c r="AL138" i="6"/>
  <c r="AH136" i="6"/>
  <c r="AL137" i="6"/>
  <c r="AD137" i="6"/>
  <c r="AI139" i="6"/>
  <c r="AK138" i="6"/>
  <c r="AC163" i="6"/>
  <c r="AD163" i="6"/>
  <c r="AG162" i="6"/>
  <c r="AJ161" i="6"/>
  <c r="AI163" i="6"/>
  <c r="AK166" i="6"/>
  <c r="AG168" i="6"/>
  <c r="AI168" i="6"/>
  <c r="AJ167" i="6"/>
  <c r="AG169" i="6"/>
  <c r="AG164" i="6"/>
  <c r="AD168" i="6"/>
  <c r="AC171" i="6"/>
  <c r="AE171" i="6"/>
  <c r="AJ169" i="6"/>
  <c r="AE166" i="6"/>
  <c r="AG166" i="6"/>
  <c r="AI171" i="6"/>
  <c r="AD171" i="6"/>
  <c r="AK171" i="6"/>
  <c r="AJ166" i="6"/>
  <c r="AJ171" i="6"/>
  <c r="BG40" i="2"/>
  <c r="BS40" i="2" s="1"/>
  <c r="AL52" i="2"/>
  <c r="BL58" i="2"/>
  <c r="BL59" i="2" s="1"/>
  <c r="AL72" i="2"/>
  <c r="BG35" i="2"/>
  <c r="BS35" i="2" s="1"/>
  <c r="BI52" i="2"/>
  <c r="U53" i="2"/>
  <c r="G33" i="2"/>
  <c r="S33" i="2" s="1"/>
  <c r="AG33" i="2"/>
  <c r="AS33" i="2" s="1"/>
  <c r="G35" i="2"/>
  <c r="S35" i="2" s="1"/>
  <c r="AT34" i="2"/>
  <c r="AT53" i="2"/>
  <c r="I53" i="2"/>
  <c r="I34" i="2"/>
  <c r="I55" i="2" s="1"/>
  <c r="M53" i="2"/>
  <c r="M34" i="2"/>
  <c r="AG35" i="2"/>
  <c r="AS35" i="2" s="1"/>
  <c r="H52" i="2"/>
  <c r="AL54" i="2"/>
  <c r="BL54" i="2"/>
  <c r="BM55" i="2"/>
  <c r="T89" i="2"/>
  <c r="T29" i="2"/>
  <c r="BI29" i="2"/>
  <c r="BI89" i="2"/>
  <c r="L58" i="2"/>
  <c r="L59" i="2" s="1"/>
  <c r="G32" i="2"/>
  <c r="G34" i="2" s="1"/>
  <c r="H53" i="2"/>
  <c r="BG47" i="2"/>
  <c r="BS47" i="2" s="1"/>
  <c r="BS18" i="2"/>
  <c r="AS20" i="2"/>
  <c r="BS22" i="2"/>
  <c r="L23" i="2"/>
  <c r="S23" i="2" s="1"/>
  <c r="L16" i="2"/>
  <c r="BG46" i="2"/>
  <c r="BS46" i="2" s="1"/>
  <c r="AK72" i="2"/>
  <c r="K70" i="2"/>
  <c r="K63" i="2"/>
  <c r="BL64" i="2"/>
  <c r="BL71" i="2"/>
  <c r="N16" i="2"/>
  <c r="L26" i="2"/>
  <c r="S26" i="2" s="1"/>
  <c r="J34" i="2"/>
  <c r="J53" i="2"/>
  <c r="L42" i="2"/>
  <c r="L70" i="2" s="1"/>
  <c r="M16" i="2"/>
  <c r="BU16" i="2"/>
  <c r="AU63" i="2"/>
  <c r="BS17" i="2"/>
  <c r="S18" i="2"/>
  <c r="BK63" i="2"/>
  <c r="BK70" i="2"/>
  <c r="BT71" i="2"/>
  <c r="BU34" i="2"/>
  <c r="BU53" i="2"/>
  <c r="BJ14" i="2"/>
  <c r="BH14" i="2"/>
  <c r="BU14" i="2"/>
  <c r="BT14" i="2"/>
  <c r="BN14" i="2"/>
  <c r="BN87" i="2" s="1"/>
  <c r="BL14" i="2"/>
  <c r="BM14" i="2"/>
  <c r="U64" i="2"/>
  <c r="N14" i="2"/>
  <c r="N87" i="2" s="1"/>
  <c r="U14" i="2"/>
  <c r="L65" i="2"/>
  <c r="L72" i="2"/>
  <c r="G39" i="2"/>
  <c r="S39" i="2" s="1"/>
  <c r="H64" i="2"/>
  <c r="H14" i="2"/>
  <c r="BK14" i="2"/>
  <c r="AN89" i="2"/>
  <c r="AN29" i="2"/>
  <c r="AG32" i="2"/>
  <c r="AG34" i="2" s="1"/>
  <c r="AH34" i="2"/>
  <c r="T58" i="2"/>
  <c r="T59" i="2" s="1"/>
  <c r="L38" i="2"/>
  <c r="G38" i="2" s="1"/>
  <c r="S38" i="2" s="1"/>
  <c r="J58" i="2"/>
  <c r="J59" i="2" s="1"/>
  <c r="I14" i="2"/>
  <c r="T54" i="2"/>
  <c r="L25" i="2"/>
  <c r="AJ53" i="2"/>
  <c r="AJ34" i="2"/>
  <c r="K55" i="2"/>
  <c r="T70" i="2"/>
  <c r="T63" i="2"/>
  <c r="AK29" i="2"/>
  <c r="AK89" i="2"/>
  <c r="BG15" i="2"/>
  <c r="BS24" i="2"/>
  <c r="K14" i="2"/>
  <c r="G15" i="2"/>
  <c r="BS20" i="2"/>
  <c r="S21" i="2"/>
  <c r="BL72" i="2"/>
  <c r="T34" i="2"/>
  <c r="AT16" i="2"/>
  <c r="AL45" i="2"/>
  <c r="AL16" i="2" s="1"/>
  <c r="L53" i="2"/>
  <c r="J14" i="2"/>
  <c r="AI53" i="2"/>
  <c r="AI34" i="2"/>
  <c r="AU29" i="2"/>
  <c r="AT64" i="2"/>
  <c r="AT71" i="2"/>
  <c r="AL19" i="2"/>
  <c r="AL50" i="2" s="1"/>
  <c r="BM65" i="2"/>
  <c r="AS25" i="2"/>
  <c r="BG29" i="2"/>
  <c r="BI14" i="2"/>
  <c r="U70" i="2"/>
  <c r="H55" i="2"/>
  <c r="AS22" i="2"/>
  <c r="M14" i="2"/>
  <c r="AU64" i="2"/>
  <c r="AU71" i="2"/>
  <c r="BH34" i="2"/>
  <c r="BG32" i="2"/>
  <c r="BG34" i="2" s="1"/>
  <c r="BH53" i="2"/>
  <c r="AM53" i="2"/>
  <c r="AM34" i="2"/>
  <c r="BH16" i="2"/>
  <c r="BK34" i="2"/>
  <c r="BK53" i="2"/>
  <c r="AG39" i="2"/>
  <c r="AS39" i="2" s="1"/>
  <c r="BM53" i="2"/>
  <c r="BL16" i="2"/>
  <c r="BJ16" i="2"/>
  <c r="BT16" i="2"/>
  <c r="BN16" i="2"/>
  <c r="T14" i="2"/>
  <c r="T15" i="2" s="1"/>
  <c r="U16" i="2"/>
  <c r="G29" i="2"/>
  <c r="BJ55" i="2"/>
  <c r="I16" i="2"/>
  <c r="BK16" i="2"/>
  <c r="AL17" i="2"/>
  <c r="AL58" i="2" s="1"/>
  <c r="AL59" i="2" s="1"/>
  <c r="L19" i="2"/>
  <c r="L50" i="2" s="1"/>
  <c r="AJ65" i="2"/>
  <c r="AS24" i="2"/>
  <c r="BS26" i="2"/>
  <c r="BL34" i="2"/>
  <c r="BL53" i="2"/>
  <c r="BI34" i="2"/>
  <c r="G47" i="2"/>
  <c r="S47" i="2" s="1"/>
  <c r="G45" i="2"/>
  <c r="S45" i="2" s="1"/>
  <c r="BT53" i="2"/>
  <c r="J16" i="2"/>
  <c r="BM16" i="2"/>
  <c r="AT63" i="2"/>
  <c r="AL18" i="2"/>
  <c r="AS18" i="2" s="1"/>
  <c r="AT70" i="2"/>
  <c r="BG38" i="2"/>
  <c r="BS38" i="2" s="1"/>
  <c r="K16" i="2"/>
  <c r="BK71" i="2"/>
  <c r="BK64" i="2"/>
  <c r="AS27" i="2"/>
  <c r="AG15" i="2"/>
  <c r="AI16" i="2"/>
  <c r="AJ16" i="2"/>
  <c r="AL65" i="2"/>
  <c r="AK34" i="2"/>
  <c r="BJ53" i="2"/>
  <c r="AM16" i="2"/>
  <c r="AU34" i="2"/>
  <c r="AG40" i="2"/>
  <c r="AS40" i="2" s="1"/>
  <c r="J123" i="6"/>
  <c r="P122" i="6"/>
  <c r="AJ62" i="6"/>
  <c r="X162" i="6"/>
  <c r="AJ162" i="6" s="1"/>
  <c r="X139" i="6"/>
  <c r="AJ139" i="6" s="1"/>
  <c r="AJ39" i="6"/>
  <c r="U132" i="6"/>
  <c r="AG132" i="6" s="1"/>
  <c r="AG32" i="6"/>
  <c r="AJ137" i="6"/>
  <c r="I168" i="6"/>
  <c r="P68" i="6"/>
  <c r="AF96" i="6"/>
  <c r="AA96" i="6"/>
  <c r="Z133" i="6"/>
  <c r="AL133" i="6" s="1"/>
  <c r="AL33" i="6"/>
  <c r="J58" i="6"/>
  <c r="AD37" i="6"/>
  <c r="T138" i="6"/>
  <c r="AF138" i="6" s="1"/>
  <c r="AF38" i="6"/>
  <c r="X146" i="6"/>
  <c r="AJ146" i="6" s="1"/>
  <c r="AJ46" i="6"/>
  <c r="AI150" i="6"/>
  <c r="L152" i="6"/>
  <c r="AI152" i="6" s="1"/>
  <c r="AI52" i="6"/>
  <c r="AG53" i="6"/>
  <c r="U155" i="6"/>
  <c r="AG155" i="6" s="1"/>
  <c r="AG55" i="6"/>
  <c r="AA55" i="6"/>
  <c r="AK65" i="6"/>
  <c r="Y165" i="6"/>
  <c r="AK165" i="6" s="1"/>
  <c r="P90" i="6"/>
  <c r="AG90" i="6"/>
  <c r="Y151" i="6"/>
  <c r="AK151" i="6" s="1"/>
  <c r="AK51" i="6"/>
  <c r="Q138" i="6"/>
  <c r="AC138" i="6" s="1"/>
  <c r="AC38" i="6"/>
  <c r="AM49" i="6"/>
  <c r="G164" i="6"/>
  <c r="G172" i="6" s="1"/>
  <c r="P64" i="6"/>
  <c r="AM64" i="6" s="1"/>
  <c r="R138" i="6"/>
  <c r="AD138" i="6" s="1"/>
  <c r="AD38" i="6"/>
  <c r="AG40" i="6"/>
  <c r="AH46" i="6"/>
  <c r="F133" i="6"/>
  <c r="AC133" i="6" s="1"/>
  <c r="P33" i="6"/>
  <c r="K152" i="6"/>
  <c r="P52" i="6"/>
  <c r="AK160" i="6"/>
  <c r="P105" i="6"/>
  <c r="AM105" i="6" s="1"/>
  <c r="H155" i="6"/>
  <c r="AL115" i="6"/>
  <c r="AA115" i="6"/>
  <c r="G130" i="6"/>
  <c r="G43" i="6"/>
  <c r="P30" i="6"/>
  <c r="AM30" i="6" s="1"/>
  <c r="AD30" i="6"/>
  <c r="P35" i="6"/>
  <c r="AE37" i="6"/>
  <c r="U138" i="6"/>
  <c r="AG138" i="6" s="1"/>
  <c r="AG38" i="6"/>
  <c r="AC139" i="6"/>
  <c r="F141" i="6"/>
  <c r="AC141" i="6" s="1"/>
  <c r="P41" i="6"/>
  <c r="AA41" i="6"/>
  <c r="AL45" i="6"/>
  <c r="Y146" i="6"/>
  <c r="AK146" i="6" s="1"/>
  <c r="AK46" i="6"/>
  <c r="R156" i="6"/>
  <c r="AD156" i="6" s="1"/>
  <c r="AD56" i="6"/>
  <c r="P60" i="6"/>
  <c r="F73" i="6"/>
  <c r="AC60" i="6"/>
  <c r="AL65" i="6"/>
  <c r="Z165" i="6"/>
  <c r="AL165" i="6" s="1"/>
  <c r="AD167" i="6"/>
  <c r="AG171" i="6"/>
  <c r="AF92" i="6"/>
  <c r="Z185" i="6"/>
  <c r="W185" i="6"/>
  <c r="X185" i="6" s="1"/>
  <c r="S132" i="6"/>
  <c r="AE132" i="6" s="1"/>
  <c r="AE32" i="6"/>
  <c r="U146" i="6"/>
  <c r="AG46" i="6"/>
  <c r="H58" i="6"/>
  <c r="P57" i="6"/>
  <c r="AH36" i="6"/>
  <c r="AM114" i="6"/>
  <c r="AG33" i="6"/>
  <c r="Q135" i="6"/>
  <c r="AC135" i="6" s="1"/>
  <c r="AA35" i="6"/>
  <c r="AC35" i="6"/>
  <c r="AC41" i="6"/>
  <c r="AH47" i="6"/>
  <c r="AI49" i="6"/>
  <c r="AD60" i="6"/>
  <c r="L164" i="6"/>
  <c r="AI164" i="6" s="1"/>
  <c r="AI64" i="6"/>
  <c r="R73" i="6"/>
  <c r="AL119" i="6"/>
  <c r="P119" i="6"/>
  <c r="S58" i="6"/>
  <c r="X130" i="6"/>
  <c r="AJ30" i="6"/>
  <c r="Y133" i="6"/>
  <c r="AK133" i="6" s="1"/>
  <c r="AK33" i="6"/>
  <c r="X43" i="6"/>
  <c r="S161" i="6"/>
  <c r="AE161" i="6" s="1"/>
  <c r="AE61" i="6"/>
  <c r="U43" i="6"/>
  <c r="K58" i="6"/>
  <c r="AF30" i="6"/>
  <c r="I137" i="6"/>
  <c r="I142" i="6" s="1"/>
  <c r="P37" i="6"/>
  <c r="AM37" i="6" s="1"/>
  <c r="Y43" i="6"/>
  <c r="N148" i="6"/>
  <c r="AK148" i="6" s="1"/>
  <c r="P48" i="6"/>
  <c r="AF56" i="6"/>
  <c r="T156" i="6"/>
  <c r="AE60" i="6"/>
  <c r="T162" i="6"/>
  <c r="AF162" i="6" s="1"/>
  <c r="AA62" i="6"/>
  <c r="AE87" i="6"/>
  <c r="P92" i="6"/>
  <c r="F160" i="6"/>
  <c r="S43" i="6"/>
  <c r="F149" i="6"/>
  <c r="AC149" i="6" s="1"/>
  <c r="P49" i="6"/>
  <c r="U150" i="6"/>
  <c r="AG150" i="6" s="1"/>
  <c r="AG50" i="6"/>
  <c r="P34" i="6"/>
  <c r="J43" i="6"/>
  <c r="J130" i="6"/>
  <c r="P32" i="6"/>
  <c r="S135" i="6"/>
  <c r="AE135" i="6" s="1"/>
  <c r="AE35" i="6"/>
  <c r="AJ147" i="6"/>
  <c r="O148" i="6"/>
  <c r="AL148" i="6" s="1"/>
  <c r="AL48" i="6"/>
  <c r="AH118" i="6"/>
  <c r="AA118" i="6"/>
  <c r="AM118" i="6" s="1"/>
  <c r="R145" i="6"/>
  <c r="AD45" i="6"/>
  <c r="AF40" i="6"/>
  <c r="I58" i="6"/>
  <c r="K142" i="6"/>
  <c r="AE34" i="6"/>
  <c r="T135" i="6"/>
  <c r="AF135" i="6" s="1"/>
  <c r="AF35" i="6"/>
  <c r="O140" i="6"/>
  <c r="O142" i="6" s="1"/>
  <c r="AL40" i="6"/>
  <c r="P42" i="6"/>
  <c r="F43" i="6"/>
  <c r="M145" i="6"/>
  <c r="M58" i="6"/>
  <c r="AH50" i="6"/>
  <c r="I154" i="6"/>
  <c r="I157" i="6" s="1"/>
  <c r="P54" i="6"/>
  <c r="V167" i="6"/>
  <c r="AH67" i="6"/>
  <c r="L123" i="6"/>
  <c r="T168" i="6"/>
  <c r="AF68" i="6"/>
  <c r="AA68" i="6"/>
  <c r="N137" i="6"/>
  <c r="AK137" i="6" s="1"/>
  <c r="AK37" i="6"/>
  <c r="T58" i="6"/>
  <c r="AJ134" i="6"/>
  <c r="Y130" i="6"/>
  <c r="AK30" i="6"/>
  <c r="AD147" i="6"/>
  <c r="X165" i="6"/>
  <c r="AJ165" i="6" s="1"/>
  <c r="AJ65" i="6"/>
  <c r="AA111" i="6"/>
  <c r="AC111" i="6"/>
  <c r="R132" i="6"/>
  <c r="AD132" i="6" s="1"/>
  <c r="AD32" i="6"/>
  <c r="AA32" i="6"/>
  <c r="AM32" i="6" s="1"/>
  <c r="AG34" i="6"/>
  <c r="N145" i="6"/>
  <c r="AK145" i="6" s="1"/>
  <c r="N58" i="6"/>
  <c r="R148" i="6"/>
  <c r="AD48" i="6"/>
  <c r="AA48" i="6"/>
  <c r="AI50" i="6"/>
  <c r="P70" i="6"/>
  <c r="I170" i="6"/>
  <c r="AC80" i="6"/>
  <c r="AA80" i="6"/>
  <c r="H108" i="6"/>
  <c r="J108" i="6"/>
  <c r="Y139" i="6"/>
  <c r="AK139" i="6" s="1"/>
  <c r="AK39" i="6"/>
  <c r="AD47" i="6"/>
  <c r="Q145" i="6"/>
  <c r="AC45" i="6"/>
  <c r="AA45" i="6"/>
  <c r="AH120" i="6"/>
  <c r="V170" i="6"/>
  <c r="AH170" i="6" s="1"/>
  <c r="AA120" i="6"/>
  <c r="AM120" i="6" s="1"/>
  <c r="T152" i="6"/>
  <c r="AF152" i="6" s="1"/>
  <c r="AA52" i="6"/>
  <c r="AI31" i="6"/>
  <c r="AA81" i="6"/>
  <c r="AC81" i="6"/>
  <c r="W148" i="6"/>
  <c r="AI148" i="6" s="1"/>
  <c r="AI48" i="6"/>
  <c r="G139" i="6"/>
  <c r="AD139" i="6" s="1"/>
  <c r="P39" i="6"/>
  <c r="T130" i="6"/>
  <c r="T43" i="6"/>
  <c r="AK132" i="6"/>
  <c r="AG133" i="6"/>
  <c r="Q134" i="6"/>
  <c r="AA34" i="6"/>
  <c r="H139" i="6"/>
  <c r="AE139" i="6" s="1"/>
  <c r="AE39" i="6"/>
  <c r="S141" i="6"/>
  <c r="AE141" i="6" s="1"/>
  <c r="AE41" i="6"/>
  <c r="N43" i="6"/>
  <c r="Q43" i="6"/>
  <c r="AH145" i="6"/>
  <c r="P50" i="6"/>
  <c r="R154" i="6"/>
  <c r="AD154" i="6" s="1"/>
  <c r="AA54" i="6"/>
  <c r="I156" i="6"/>
  <c r="P56" i="6"/>
  <c r="Y58" i="6"/>
  <c r="AE160" i="6"/>
  <c r="S73" i="6"/>
  <c r="AK154" i="6"/>
  <c r="Z186" i="6"/>
  <c r="W186" i="6"/>
  <c r="X186" i="6" s="1"/>
  <c r="I43" i="6"/>
  <c r="K43" i="6"/>
  <c r="L43" i="6"/>
  <c r="AA89" i="6"/>
  <c r="AM98" i="6"/>
  <c r="X136" i="6"/>
  <c r="AJ136" i="6" s="1"/>
  <c r="AJ36" i="6"/>
  <c r="AD67" i="6"/>
  <c r="T169" i="6"/>
  <c r="AF169" i="6" s="1"/>
  <c r="AA69" i="6"/>
  <c r="U130" i="6"/>
  <c r="AG30" i="6"/>
  <c r="P31" i="6"/>
  <c r="AM31" i="6" s="1"/>
  <c r="AL32" i="6"/>
  <c r="V133" i="6"/>
  <c r="AH133" i="6" s="1"/>
  <c r="AH33" i="6"/>
  <c r="AL35" i="6"/>
  <c r="Z136" i="6"/>
  <c r="AL136" i="6" s="1"/>
  <c r="AL36" i="6"/>
  <c r="AK40" i="6"/>
  <c r="R43" i="6"/>
  <c r="AI145" i="6"/>
  <c r="X149" i="6"/>
  <c r="AJ149" i="6" s="1"/>
  <c r="AJ49" i="6"/>
  <c r="Q150" i="6"/>
  <c r="AC150" i="6" s="1"/>
  <c r="AC50" i="6"/>
  <c r="AA50" i="6"/>
  <c r="AF52" i="6"/>
  <c r="AE154" i="6"/>
  <c r="AJ56" i="6"/>
  <c r="S165" i="6"/>
  <c r="AE165" i="6" s="1"/>
  <c r="AE65" i="6"/>
  <c r="AA65" i="6"/>
  <c r="AH169" i="6"/>
  <c r="R170" i="6"/>
  <c r="AD170" i="6" s="1"/>
  <c r="AA70" i="6"/>
  <c r="AE48" i="6"/>
  <c r="S148" i="6"/>
  <c r="AE148" i="6" s="1"/>
  <c r="AF31" i="6"/>
  <c r="X73" i="6"/>
  <c r="V152" i="6"/>
  <c r="AH52" i="6"/>
  <c r="V58" i="6"/>
  <c r="K166" i="6"/>
  <c r="AH166" i="6" s="1"/>
  <c r="AH66" i="6"/>
  <c r="W136" i="6"/>
  <c r="AI136" i="6" s="1"/>
  <c r="AI36" i="6"/>
  <c r="V93" i="6"/>
  <c r="AH80" i="6"/>
  <c r="AH92" i="6" s="1"/>
  <c r="AG102" i="6"/>
  <c r="AG107" i="6" s="1"/>
  <c r="J152" i="6"/>
  <c r="AG152" i="6" s="1"/>
  <c r="N131" i="6"/>
  <c r="AK131" i="6" s="1"/>
  <c r="L147" i="6"/>
  <c r="AI147" i="6" s="1"/>
  <c r="AI47" i="6"/>
  <c r="L58" i="6"/>
  <c r="AD160" i="6"/>
  <c r="W93" i="6"/>
  <c r="AI80" i="6"/>
  <c r="AK35" i="6"/>
  <c r="V130" i="6"/>
  <c r="AH30" i="6"/>
  <c r="Q131" i="6"/>
  <c r="AI32" i="6"/>
  <c r="W133" i="6"/>
  <c r="AI133" i="6" s="1"/>
  <c r="AI33" i="6"/>
  <c r="F136" i="6"/>
  <c r="AC136" i="6" s="1"/>
  <c r="P36" i="6"/>
  <c r="AA36" i="6"/>
  <c r="AI39" i="6"/>
  <c r="AL140" i="6"/>
  <c r="U141" i="6"/>
  <c r="AG141" i="6" s="1"/>
  <c r="AG41" i="6"/>
  <c r="AA42" i="6"/>
  <c r="V43" i="6"/>
  <c r="X58" i="6"/>
  <c r="X145" i="6"/>
  <c r="AJ48" i="6"/>
  <c r="AG52" i="6"/>
  <c r="X153" i="6"/>
  <c r="AJ153" i="6" s="1"/>
  <c r="AF54" i="6"/>
  <c r="T154" i="6"/>
  <c r="Q161" i="6"/>
  <c r="AC161" i="6" s="1"/>
  <c r="AC61" i="6"/>
  <c r="AA61" i="6"/>
  <c r="AI63" i="6"/>
  <c r="P66" i="6"/>
  <c r="AM66" i="6" s="1"/>
  <c r="AI169" i="6"/>
  <c r="S170" i="6"/>
  <c r="AE170" i="6" s="1"/>
  <c r="AE70" i="6"/>
  <c r="V73" i="6"/>
  <c r="AD82" i="6"/>
  <c r="AK97" i="6"/>
  <c r="N108" i="6"/>
  <c r="V135" i="6"/>
  <c r="AH135" i="6" s="1"/>
  <c r="AH35" i="6"/>
  <c r="AF47" i="6"/>
  <c r="M150" i="6"/>
  <c r="AJ150" i="6" s="1"/>
  <c r="AJ50" i="6"/>
  <c r="P67" i="6"/>
  <c r="AM67" i="6" s="1"/>
  <c r="F167" i="6"/>
  <c r="AC167" i="6" s="1"/>
  <c r="AA39" i="6"/>
  <c r="T153" i="6"/>
  <c r="AF153" i="6" s="1"/>
  <c r="AA53" i="6"/>
  <c r="P89" i="6"/>
  <c r="AC89" i="6"/>
  <c r="AI122" i="6"/>
  <c r="Y169" i="6"/>
  <c r="AK169" i="6" s="1"/>
  <c r="Y123" i="6"/>
  <c r="AK119" i="6"/>
  <c r="AJ35" i="6"/>
  <c r="R141" i="6"/>
  <c r="AD141" i="6" s="1"/>
  <c r="AD41" i="6"/>
  <c r="H73" i="6"/>
  <c r="AL84" i="6"/>
  <c r="AL92" i="6" s="1"/>
  <c r="AA84" i="6"/>
  <c r="AD131" i="6"/>
  <c r="AJ32" i="6"/>
  <c r="AD36" i="6"/>
  <c r="P38" i="6"/>
  <c r="AM38" i="6" s="1"/>
  <c r="AE40" i="6"/>
  <c r="V141" i="6"/>
  <c r="AH141" i="6" s="1"/>
  <c r="AH41" i="6"/>
  <c r="W43" i="6"/>
  <c r="T146" i="6"/>
  <c r="AF146" i="6" s="1"/>
  <c r="AA46" i="6"/>
  <c r="P47" i="6"/>
  <c r="AM47" i="6" s="1"/>
  <c r="AK48" i="6"/>
  <c r="AH160" i="6"/>
  <c r="AD61" i="6"/>
  <c r="R161" i="6"/>
  <c r="AD161" i="6" s="1"/>
  <c r="T170" i="6"/>
  <c r="AF70" i="6"/>
  <c r="AE131" i="6"/>
  <c r="AG137" i="6"/>
  <c r="P65" i="6"/>
  <c r="N93" i="6"/>
  <c r="M130" i="6"/>
  <c r="AF131" i="6"/>
  <c r="AH137" i="6"/>
  <c r="AL145" i="6"/>
  <c r="AF147" i="6"/>
  <c r="G148" i="6"/>
  <c r="G157" i="6" s="1"/>
  <c r="AK150" i="6"/>
  <c r="AL51" i="6"/>
  <c r="AJ152" i="6"/>
  <c r="AI53" i="6"/>
  <c r="AH54" i="6"/>
  <c r="V154" i="6"/>
  <c r="L162" i="6"/>
  <c r="AI162" i="6" s="1"/>
  <c r="Z163" i="6"/>
  <c r="AL163" i="6" s="1"/>
  <c r="AL63" i="6"/>
  <c r="AC65" i="6"/>
  <c r="T166" i="6"/>
  <c r="AF166" i="6" s="1"/>
  <c r="V168" i="6"/>
  <c r="AH168" i="6" s="1"/>
  <c r="AI69" i="6"/>
  <c r="AK71" i="6"/>
  <c r="Y93" i="6"/>
  <c r="AC97" i="6"/>
  <c r="AA97" i="6"/>
  <c r="AM97" i="6" s="1"/>
  <c r="AC106" i="6"/>
  <c r="AA106" i="6"/>
  <c r="AM106" i="6" s="1"/>
  <c r="L108" i="6"/>
  <c r="Q108" i="6"/>
  <c r="AM121" i="6"/>
  <c r="V147" i="6"/>
  <c r="AH147" i="6" s="1"/>
  <c r="K163" i="6"/>
  <c r="K172" i="6" s="1"/>
  <c r="AH140" i="6"/>
  <c r="AG156" i="6"/>
  <c r="AI30" i="6"/>
  <c r="AC32" i="6"/>
  <c r="AJ33" i="6"/>
  <c r="AD35" i="6"/>
  <c r="AK36" i="6"/>
  <c r="AE38" i="6"/>
  <c r="AL39" i="6"/>
  <c r="AF41" i="6"/>
  <c r="AI46" i="6"/>
  <c r="N153" i="6"/>
  <c r="AJ53" i="6"/>
  <c r="AI154" i="6"/>
  <c r="AI156" i="6"/>
  <c r="AH60" i="6"/>
  <c r="P63" i="6"/>
  <c r="AA63" i="6"/>
  <c r="AD65" i="6"/>
  <c r="K167" i="6"/>
  <c r="AJ67" i="6"/>
  <c r="AJ69" i="6"/>
  <c r="W170" i="6"/>
  <c r="AI170" i="6" s="1"/>
  <c r="P80" i="6"/>
  <c r="F93" i="6"/>
  <c r="AD91" i="6"/>
  <c r="AA91" i="6"/>
  <c r="AC95" i="6"/>
  <c r="F123" i="6"/>
  <c r="P110" i="6"/>
  <c r="Z132" i="6"/>
  <c r="AL132" i="6" s="1"/>
  <c r="Y163" i="6"/>
  <c r="AK163" i="6" s="1"/>
  <c r="AK63" i="6"/>
  <c r="AG70" i="6"/>
  <c r="AH131" i="6"/>
  <c r="AI134" i="6"/>
  <c r="L141" i="6"/>
  <c r="AI141" i="6" s="1"/>
  <c r="O146" i="6"/>
  <c r="Z152" i="6"/>
  <c r="AL152" i="6" s="1"/>
  <c r="AL52" i="6"/>
  <c r="AJ154" i="6"/>
  <c r="AK55" i="6"/>
  <c r="AJ156" i="6"/>
  <c r="L160" i="6"/>
  <c r="AI160" i="6" s="1"/>
  <c r="AI60" i="6"/>
  <c r="AD63" i="6"/>
  <c r="AD64" i="6"/>
  <c r="R164" i="6"/>
  <c r="AJ168" i="6"/>
  <c r="O169" i="6"/>
  <c r="AL169" i="6" s="1"/>
  <c r="AJ170" i="6"/>
  <c r="O171" i="6"/>
  <c r="AL171" i="6" s="1"/>
  <c r="G93" i="6"/>
  <c r="P86" i="6"/>
  <c r="AC86" i="6"/>
  <c r="AA92" i="6"/>
  <c r="AD107" i="6"/>
  <c r="AC102" i="6"/>
  <c r="AA102" i="6"/>
  <c r="P103" i="6"/>
  <c r="AL104" i="6"/>
  <c r="AA104" i="6"/>
  <c r="AM104" i="6" s="1"/>
  <c r="J135" i="6"/>
  <c r="AG135" i="6" s="1"/>
  <c r="Y140" i="6"/>
  <c r="AK140" i="6" s="1"/>
  <c r="AC166" i="6"/>
  <c r="AF134" i="6"/>
  <c r="AE147" i="6"/>
  <c r="AI131" i="6"/>
  <c r="AD136" i="6"/>
  <c r="P46" i="6"/>
  <c r="AF48" i="6"/>
  <c r="H150" i="6"/>
  <c r="H157" i="6" s="1"/>
  <c r="AC151" i="6"/>
  <c r="P53" i="6"/>
  <c r="AL53" i="6"/>
  <c r="P55" i="6"/>
  <c r="AL55" i="6"/>
  <c r="F58" i="6"/>
  <c r="M160" i="6"/>
  <c r="M172" i="6" s="1"/>
  <c r="AE64" i="6"/>
  <c r="S164" i="6"/>
  <c r="AE164" i="6" s="1"/>
  <c r="AI166" i="6"/>
  <c r="AK168" i="6"/>
  <c r="P69" i="6"/>
  <c r="AL69" i="6"/>
  <c r="AK170" i="6"/>
  <c r="P71" i="6"/>
  <c r="G73" i="6"/>
  <c r="AA83" i="6"/>
  <c r="AM83" i="6" s="1"/>
  <c r="AH115" i="6"/>
  <c r="AC120" i="6"/>
  <c r="N156" i="6"/>
  <c r="AK156" i="6" s="1"/>
  <c r="AD166" i="6"/>
  <c r="AH53" i="6"/>
  <c r="AF60" i="6"/>
  <c r="Q130" i="6"/>
  <c r="AL30" i="6"/>
  <c r="R133" i="6"/>
  <c r="AD133" i="6" s="1"/>
  <c r="S136" i="6"/>
  <c r="AE136" i="6" s="1"/>
  <c r="M138" i="6"/>
  <c r="AJ138" i="6" s="1"/>
  <c r="AH38" i="6"/>
  <c r="T139" i="6"/>
  <c r="AF139" i="6" s="1"/>
  <c r="AA40" i="6"/>
  <c r="AI41" i="6"/>
  <c r="AE45" i="6"/>
  <c r="AL46" i="6"/>
  <c r="AG48" i="6"/>
  <c r="AF149" i="6"/>
  <c r="AD151" i="6"/>
  <c r="AC52" i="6"/>
  <c r="Z154" i="6"/>
  <c r="AL154" i="6" s="1"/>
  <c r="AL54" i="6"/>
  <c r="G58" i="6"/>
  <c r="N172" i="6"/>
  <c r="AC162" i="6"/>
  <c r="AF63" i="6"/>
  <c r="AF64" i="6"/>
  <c r="T164" i="6"/>
  <c r="AF164" i="6" s="1"/>
  <c r="F168" i="6"/>
  <c r="AC168" i="6" s="1"/>
  <c r="Z168" i="6"/>
  <c r="AL168" i="6" s="1"/>
  <c r="AL68" i="6"/>
  <c r="Q169" i="6"/>
  <c r="AC169" i="6" s="1"/>
  <c r="P72" i="6"/>
  <c r="AG92" i="6"/>
  <c r="AE88" i="6"/>
  <c r="S93" i="6"/>
  <c r="AL96" i="6"/>
  <c r="AF101" i="6"/>
  <c r="AA101" i="6"/>
  <c r="AJ111" i="6"/>
  <c r="X123" i="6"/>
  <c r="AH117" i="6"/>
  <c r="AH122" i="6" s="1"/>
  <c r="O156" i="6"/>
  <c r="AL156" i="6" s="1"/>
  <c r="U154" i="6"/>
  <c r="AG154" i="6" s="1"/>
  <c r="AG54" i="6"/>
  <c r="AH55" i="6"/>
  <c r="AG68" i="6"/>
  <c r="AH69" i="6"/>
  <c r="AC115" i="6"/>
  <c r="P115" i="6"/>
  <c r="R130" i="6"/>
  <c r="AE133" i="6"/>
  <c r="Z134" i="6"/>
  <c r="AL134" i="6" s="1"/>
  <c r="AF136" i="6"/>
  <c r="AI38" i="6"/>
  <c r="AC40" i="6"/>
  <c r="AF45" i="6"/>
  <c r="AH48" i="6"/>
  <c r="U149" i="6"/>
  <c r="AG149" i="6" s="1"/>
  <c r="S151" i="6"/>
  <c r="AE151" i="6" s="1"/>
  <c r="AE51" i="6"/>
  <c r="AD52" i="6"/>
  <c r="AD153" i="6"/>
  <c r="AL161" i="6"/>
  <c r="AD62" i="6"/>
  <c r="R162" i="6"/>
  <c r="AD162" i="6" s="1"/>
  <c r="AD169" i="6"/>
  <c r="I73" i="6"/>
  <c r="P87" i="6"/>
  <c r="AM87" i="6" s="1"/>
  <c r="P96" i="6"/>
  <c r="AC96" i="6"/>
  <c r="AJ110" i="6"/>
  <c r="R123" i="6"/>
  <c r="F148" i="6"/>
  <c r="F157" i="6" s="1"/>
  <c r="AF171" i="6"/>
  <c r="AE130" i="6"/>
  <c r="F131" i="6"/>
  <c r="Z131" i="6"/>
  <c r="AL131" i="6" s="1"/>
  <c r="AH32" i="6"/>
  <c r="T133" i="6"/>
  <c r="AF133" i="6" s="1"/>
  <c r="AI35" i="6"/>
  <c r="U136" i="6"/>
  <c r="AG136" i="6" s="1"/>
  <c r="AJ38" i="6"/>
  <c r="AD40" i="6"/>
  <c r="AG45" i="6"/>
  <c r="AG57" i="6" s="1"/>
  <c r="T151" i="6"/>
  <c r="AF151" i="6" s="1"/>
  <c r="AF51" i="6"/>
  <c r="AE52" i="6"/>
  <c r="S153" i="6"/>
  <c r="AE153" i="6" s="1"/>
  <c r="AE53" i="6"/>
  <c r="AC54" i="6"/>
  <c r="AA57" i="6"/>
  <c r="Q160" i="6"/>
  <c r="AA60" i="6"/>
  <c r="AE62" i="6"/>
  <c r="S162" i="6"/>
  <c r="AE162" i="6" s="1"/>
  <c r="AH164" i="6"/>
  <c r="Z166" i="6"/>
  <c r="AL166" i="6" s="1"/>
  <c r="AL66" i="6"/>
  <c r="H168" i="6"/>
  <c r="AE168" i="6" s="1"/>
  <c r="AC68" i="6"/>
  <c r="AK81" i="6"/>
  <c r="AK92" i="6" s="1"/>
  <c r="AC82" i="6"/>
  <c r="AA82" i="6"/>
  <c r="AM82" i="6" s="1"/>
  <c r="AC87" i="6"/>
  <c r="AI91" i="6"/>
  <c r="S123" i="6"/>
  <c r="AJ63" i="6"/>
  <c r="AE67" i="6"/>
  <c r="AG71" i="6"/>
  <c r="L73" i="6"/>
  <c r="P81" i="6"/>
  <c r="P84" i="6"/>
  <c r="AK106" i="6"/>
  <c r="AL112" i="6"/>
  <c r="AA112" i="6"/>
  <c r="AM112" i="6" s="1"/>
  <c r="AC114" i="6"/>
  <c r="Y149" i="6"/>
  <c r="AK149" i="6" s="1"/>
  <c r="AK49" i="6"/>
  <c r="W151" i="6"/>
  <c r="AI151" i="6" s="1"/>
  <c r="AH153" i="6"/>
  <c r="AH155" i="6"/>
  <c r="AF160" i="6"/>
  <c r="AK164" i="6"/>
  <c r="AE66" i="6"/>
  <c r="T167" i="6"/>
  <c r="AF167" i="6" s="1"/>
  <c r="AF67" i="6"/>
  <c r="V171" i="6"/>
  <c r="AH171" i="6" s="1"/>
  <c r="AH71" i="6"/>
  <c r="M73" i="6"/>
  <c r="AD84" i="6"/>
  <c r="X93" i="6"/>
  <c r="V108" i="6"/>
  <c r="AM117" i="6"/>
  <c r="AC119" i="6"/>
  <c r="AA119" i="6"/>
  <c r="W130" i="6"/>
  <c r="J131" i="6"/>
  <c r="AG131" i="6" s="1"/>
  <c r="AE31" i="6"/>
  <c r="AC132" i="6"/>
  <c r="AF34" i="6"/>
  <c r="AD135" i="6"/>
  <c r="AK136" i="6"/>
  <c r="L137" i="6"/>
  <c r="AI137" i="6" s="1"/>
  <c r="AG37" i="6"/>
  <c r="Z139" i="6"/>
  <c r="AL139" i="6" s="1"/>
  <c r="AH40" i="6"/>
  <c r="P45" i="6"/>
  <c r="AK45" i="6"/>
  <c r="AE47" i="6"/>
  <c r="Z149" i="6"/>
  <c r="AL149" i="6" s="1"/>
  <c r="AL49" i="6"/>
  <c r="AK50" i="6"/>
  <c r="AJ151" i="6"/>
  <c r="AJ54" i="6"/>
  <c r="AI155" i="6"/>
  <c r="AI56" i="6"/>
  <c r="U58" i="6"/>
  <c r="Q58" i="6"/>
  <c r="U172" i="6"/>
  <c r="AG160" i="6"/>
  <c r="AJ61" i="6"/>
  <c r="F164" i="6"/>
  <c r="AC164" i="6" s="1"/>
  <c r="AL164" i="6"/>
  <c r="AD165" i="6"/>
  <c r="AF66" i="6"/>
  <c r="U167" i="6"/>
  <c r="AG67" i="6"/>
  <c r="AJ70" i="6"/>
  <c r="N73" i="6"/>
  <c r="AK88" i="6"/>
  <c r="K108" i="6"/>
  <c r="AC99" i="6"/>
  <c r="AA99" i="6"/>
  <c r="AM99" i="6" s="1"/>
  <c r="I123" i="6"/>
  <c r="AC117" i="6"/>
  <c r="AE121" i="6"/>
  <c r="W123" i="6"/>
  <c r="S167" i="6"/>
  <c r="AE167" i="6" s="1"/>
  <c r="Y153" i="6"/>
  <c r="W58" i="6"/>
  <c r="T165" i="6"/>
  <c r="AF165" i="6" s="1"/>
  <c r="AF65" i="6"/>
  <c r="AK68" i="6"/>
  <c r="AA72" i="6"/>
  <c r="J73" i="6"/>
  <c r="R93" i="6"/>
  <c r="AD80" i="6"/>
  <c r="AI146" i="6"/>
  <c r="F165" i="6"/>
  <c r="AC165" i="6" s="1"/>
  <c r="AL130" i="6"/>
  <c r="AH31" i="6"/>
  <c r="T132" i="6"/>
  <c r="AF132" i="6" s="1"/>
  <c r="AA33" i="6"/>
  <c r="AM33" i="6" s="1"/>
  <c r="AI34" i="6"/>
  <c r="AC36" i="6"/>
  <c r="AJ37" i="6"/>
  <c r="AD39" i="6"/>
  <c r="P40" i="6"/>
  <c r="AE145" i="6"/>
  <c r="AD49" i="6"/>
  <c r="AD50" i="6"/>
  <c r="R150" i="6"/>
  <c r="AD150" i="6" s="1"/>
  <c r="P51" i="6"/>
  <c r="AA51" i="6"/>
  <c r="AC152" i="6"/>
  <c r="AL153" i="6"/>
  <c r="AL155" i="6"/>
  <c r="X160" i="6"/>
  <c r="AJ60" i="6"/>
  <c r="Z162" i="6"/>
  <c r="AL62" i="6"/>
  <c r="AG64" i="6"/>
  <c r="AG165" i="6"/>
  <c r="AI66" i="6"/>
  <c r="K73" i="6"/>
  <c r="X131" i="6"/>
  <c r="AJ131" i="6" s="1"/>
  <c r="F134" i="6"/>
  <c r="U170" i="6"/>
  <c r="AG170" i="6" s="1"/>
  <c r="X141" i="6"/>
  <c r="AJ141" i="6" s="1"/>
  <c r="S150" i="6"/>
  <c r="AF163" i="6"/>
  <c r="AH165" i="6"/>
  <c r="F108" i="6"/>
  <c r="P107" i="6"/>
  <c r="N147" i="6"/>
  <c r="AK147" i="6" s="1"/>
  <c r="AK60" i="6"/>
  <c r="Y73" i="6"/>
  <c r="P62" i="6"/>
  <c r="AA71" i="6"/>
  <c r="Q73" i="6"/>
  <c r="AE86" i="6"/>
  <c r="AA86" i="6"/>
  <c r="I93" i="6"/>
  <c r="AA107" i="6"/>
  <c r="AC30" i="6"/>
  <c r="AH132" i="6"/>
  <c r="AD33" i="6"/>
  <c r="AK34" i="6"/>
  <c r="AI135" i="6"/>
  <c r="AE36" i="6"/>
  <c r="AC137" i="6"/>
  <c r="AL37" i="6"/>
  <c r="AF39" i="6"/>
  <c r="Y141" i="6"/>
  <c r="AK141" i="6" s="1"/>
  <c r="AG145" i="6"/>
  <c r="AC46" i="6"/>
  <c r="O147" i="6"/>
  <c r="AL147" i="6" s="1"/>
  <c r="AJ47" i="6"/>
  <c r="V148" i="6"/>
  <c r="AH148" i="6" s="1"/>
  <c r="AF49" i="6"/>
  <c r="AD51" i="6"/>
  <c r="AE152" i="6"/>
  <c r="AC53" i="6"/>
  <c r="AC154" i="6"/>
  <c r="AC55" i="6"/>
  <c r="AA56" i="6"/>
  <c r="Q156" i="6"/>
  <c r="AC156" i="6" s="1"/>
  <c r="Z160" i="6"/>
  <c r="P61" i="6"/>
  <c r="AC62" i="6"/>
  <c r="AG163" i="6"/>
  <c r="AI165" i="6"/>
  <c r="AK66" i="6"/>
  <c r="AL167" i="6"/>
  <c r="AC69" i="6"/>
  <c r="AC71" i="6"/>
  <c r="T73" i="6"/>
  <c r="U93" i="6"/>
  <c r="AE83" i="6"/>
  <c r="AE92" i="6" s="1"/>
  <c r="AA85" i="6"/>
  <c r="AM85" i="6" s="1"/>
  <c r="J93" i="6"/>
  <c r="G108" i="6"/>
  <c r="AG110" i="6"/>
  <c r="AA113" i="6"/>
  <c r="AM113" i="6" s="1"/>
  <c r="P116" i="6"/>
  <c r="Y162" i="6"/>
  <c r="AK162" i="6" s="1"/>
  <c r="Z170" i="6"/>
  <c r="AL170" i="6" s="1"/>
  <c r="K123" i="6"/>
  <c r="Y167" i="6"/>
  <c r="AK167" i="6" s="1"/>
  <c r="P91" i="6"/>
  <c r="AC91" i="6"/>
  <c r="AL101" i="6"/>
  <c r="P111" i="6"/>
  <c r="S156" i="6"/>
  <c r="AE156" i="6" s="1"/>
  <c r="V161" i="6"/>
  <c r="AH161" i="6" s="1"/>
  <c r="AA95" i="6"/>
  <c r="AM95" i="6" s="1"/>
  <c r="P101" i="6"/>
  <c r="AH104" i="6"/>
  <c r="AH107" i="6" s="1"/>
  <c r="AC110" i="6"/>
  <c r="AA110" i="6"/>
  <c r="AM110" i="6" s="1"/>
  <c r="AD117" i="6"/>
  <c r="AL121" i="6"/>
  <c r="N123" i="6"/>
  <c r="G123" i="6"/>
  <c r="T186" i="6"/>
  <c r="U186" i="6" s="1"/>
  <c r="W161" i="6"/>
  <c r="AI161" i="6" s="1"/>
  <c r="AJ164" i="6"/>
  <c r="AE169" i="6"/>
  <c r="F170" i="6"/>
  <c r="AC170" i="6" s="1"/>
  <c r="Q93" i="6"/>
  <c r="AC101" i="6"/>
  <c r="AI104" i="6"/>
  <c r="AI112" i="6"/>
  <c r="AM157" i="6"/>
  <c r="AA100" i="6"/>
  <c r="AM100" i="6" s="1"/>
  <c r="AF95" i="6"/>
  <c r="AK102" i="6"/>
  <c r="T108" i="6"/>
  <c r="AG117" i="6"/>
  <c r="Q123" i="6"/>
  <c r="AA122" i="6"/>
  <c r="AC98" i="6"/>
  <c r="P102" i="6"/>
  <c r="R108" i="6"/>
  <c r="K154" i="6"/>
  <c r="K157" i="6" s="1"/>
  <c r="O162" i="6"/>
  <c r="V163" i="6"/>
  <c r="J167" i="6"/>
  <c r="J172" i="6" s="1"/>
  <c r="W108" i="6"/>
  <c r="S108" i="6"/>
  <c r="AD113" i="6"/>
  <c r="AE120" i="6"/>
  <c r="AE122" i="6" s="1"/>
  <c r="T123" i="6"/>
  <c r="S155" i="6"/>
  <c r="AJ95" i="6"/>
  <c r="AJ107" i="6" s="1"/>
  <c r="AC103" i="6"/>
  <c r="AA103" i="6"/>
  <c r="X108" i="6"/>
  <c r="AJ115" i="6"/>
  <c r="U123" i="6"/>
  <c r="AF155" i="6"/>
  <c r="AA90" i="6"/>
  <c r="H93" i="6"/>
  <c r="AF98" i="6"/>
  <c r="Y108" i="6"/>
  <c r="AL117" i="6"/>
  <c r="V123" i="6"/>
  <c r="AA116" i="6"/>
  <c r="AI61" i="6"/>
  <c r="AC63" i="6"/>
  <c r="AJ64" i="6"/>
  <c r="AE69" i="6"/>
  <c r="L93" i="6"/>
  <c r="AI96" i="6"/>
  <c r="AC100" i="6"/>
  <c r="AF111" i="6"/>
  <c r="AF122" i="6" s="1"/>
  <c r="AK118" i="6"/>
  <c r="L142" i="6" l="1"/>
  <c r="AF154" i="6"/>
  <c r="O172" i="6"/>
  <c r="I172" i="6"/>
  <c r="AG122" i="6"/>
  <c r="AL122" i="6"/>
  <c r="AC122" i="6"/>
  <c r="H172" i="6"/>
  <c r="T172" i="6"/>
  <c r="AD122" i="6"/>
  <c r="AG72" i="6"/>
  <c r="AL72" i="6"/>
  <c r="AM71" i="6"/>
  <c r="AE42" i="6"/>
  <c r="J142" i="6"/>
  <c r="H142" i="6"/>
  <c r="F142" i="6"/>
  <c r="AM41" i="6"/>
  <c r="T157" i="6"/>
  <c r="T158" i="6" s="1"/>
  <c r="Y157" i="6"/>
  <c r="Y158" i="6" s="1"/>
  <c r="AH57" i="6"/>
  <c r="AI57" i="6"/>
  <c r="AJ57" i="6"/>
  <c r="AE155" i="6"/>
  <c r="AM51" i="6"/>
  <c r="AM52" i="6"/>
  <c r="O157" i="6"/>
  <c r="AH152" i="6"/>
  <c r="AL107" i="6"/>
  <c r="AL146" i="6"/>
  <c r="AL157" i="6" s="1"/>
  <c r="AK107" i="6"/>
  <c r="AF107" i="6"/>
  <c r="AI107" i="6"/>
  <c r="AM103" i="6"/>
  <c r="AM96" i="6"/>
  <c r="AC148" i="6"/>
  <c r="AM81" i="6"/>
  <c r="AM89" i="6"/>
  <c r="AF137" i="6"/>
  <c r="AM86" i="6"/>
  <c r="AE150" i="6"/>
  <c r="AM46" i="6"/>
  <c r="AM53" i="6"/>
  <c r="AM40" i="6"/>
  <c r="AM61" i="6"/>
  <c r="AM60" i="6"/>
  <c r="AM72" i="6" s="1"/>
  <c r="AM65" i="6"/>
  <c r="AL162" i="6"/>
  <c r="AH167" i="6"/>
  <c r="U56" i="2"/>
  <c r="BT56" i="2"/>
  <c r="L52" i="2"/>
  <c r="BJ56" i="2"/>
  <c r="K56" i="2"/>
  <c r="S34" i="2"/>
  <c r="AT56" i="2"/>
  <c r="H56" i="2"/>
  <c r="AL56" i="2"/>
  <c r="BM56" i="2"/>
  <c r="I56" i="2"/>
  <c r="M55" i="2"/>
  <c r="L89" i="2"/>
  <c r="L29" i="2"/>
  <c r="T62" i="2"/>
  <c r="T88" i="2"/>
  <c r="T69" i="2"/>
  <c r="AL89" i="2"/>
  <c r="AL29" i="2"/>
  <c r="BU29" i="2"/>
  <c r="BU15" i="2"/>
  <c r="BU89" i="2"/>
  <c r="M89" i="2"/>
  <c r="M15" i="2"/>
  <c r="M29" i="2"/>
  <c r="L71" i="2"/>
  <c r="L64" i="2"/>
  <c r="BI87" i="2"/>
  <c r="BI61" i="2"/>
  <c r="I61" i="2"/>
  <c r="I87" i="2"/>
  <c r="BH55" i="2"/>
  <c r="K89" i="2"/>
  <c r="K29" i="2"/>
  <c r="K15" i="2"/>
  <c r="BK55" i="2"/>
  <c r="AH47" i="2"/>
  <c r="BM61" i="2"/>
  <c r="BM87" i="2"/>
  <c r="BK68" i="2"/>
  <c r="BK61" i="2"/>
  <c r="BK87" i="2"/>
  <c r="J61" i="2"/>
  <c r="J87" i="2"/>
  <c r="BK15" i="2"/>
  <c r="BK89" i="2"/>
  <c r="BK29" i="2"/>
  <c r="BH89" i="2"/>
  <c r="BO16" i="2"/>
  <c r="BH29" i="2"/>
  <c r="BH15" i="2"/>
  <c r="K61" i="2"/>
  <c r="K68" i="2"/>
  <c r="K87" i="2"/>
  <c r="BL68" i="2"/>
  <c r="BL61" i="2"/>
  <c r="BL87" i="2"/>
  <c r="I89" i="2"/>
  <c r="I29" i="2"/>
  <c r="I15" i="2"/>
  <c r="AM55" i="2"/>
  <c r="J55" i="2"/>
  <c r="AL70" i="2"/>
  <c r="AL63" i="2"/>
  <c r="BT68" i="2"/>
  <c r="BT87" i="2"/>
  <c r="BT61" i="2"/>
  <c r="L63" i="2"/>
  <c r="AI29" i="2"/>
  <c r="AI89" i="2"/>
  <c r="AL64" i="2"/>
  <c r="AL71" i="2"/>
  <c r="BU68" i="2"/>
  <c r="BU87" i="2"/>
  <c r="BU61" i="2"/>
  <c r="N89" i="2"/>
  <c r="N15" i="2"/>
  <c r="N88" i="2" s="1"/>
  <c r="N29" i="2"/>
  <c r="AM29" i="2"/>
  <c r="AM89" i="2"/>
  <c r="BM89" i="2"/>
  <c r="BM15" i="2"/>
  <c r="BM29" i="2"/>
  <c r="AH55" i="2"/>
  <c r="AH56" i="2" s="1"/>
  <c r="BH87" i="2"/>
  <c r="BO14" i="2"/>
  <c r="BS14" i="2" s="1"/>
  <c r="BH61" i="2"/>
  <c r="J89" i="2"/>
  <c r="J29" i="2"/>
  <c r="J15" i="2"/>
  <c r="AS34" i="2"/>
  <c r="BJ87" i="2"/>
  <c r="BJ61" i="2"/>
  <c r="BI15" i="2"/>
  <c r="AK55" i="2"/>
  <c r="U29" i="2"/>
  <c r="U89" i="2"/>
  <c r="U15" i="2"/>
  <c r="BS34" i="2"/>
  <c r="AI55" i="2"/>
  <c r="BU56" i="2"/>
  <c r="T61" i="2"/>
  <c r="T68" i="2"/>
  <c r="T87" i="2"/>
  <c r="H87" i="2"/>
  <c r="H61" i="2"/>
  <c r="O14" i="2"/>
  <c r="BI55" i="2"/>
  <c r="AG45" i="2"/>
  <c r="AS45" i="2" s="1"/>
  <c r="BN89" i="2"/>
  <c r="BN29" i="2"/>
  <c r="BN15" i="2"/>
  <c r="BN88" i="2" s="1"/>
  <c r="AJ55" i="2"/>
  <c r="AJ56" i="2" s="1"/>
  <c r="BT89" i="2"/>
  <c r="BT29" i="2"/>
  <c r="BT15" i="2"/>
  <c r="AS19" i="2"/>
  <c r="H16" i="2"/>
  <c r="BJ89" i="2"/>
  <c r="BJ29" i="2"/>
  <c r="BJ15" i="2"/>
  <c r="L54" i="2"/>
  <c r="S25" i="2"/>
  <c r="L14" i="2"/>
  <c r="U68" i="2"/>
  <c r="U61" i="2"/>
  <c r="U87" i="2"/>
  <c r="AS17" i="2"/>
  <c r="BL89" i="2"/>
  <c r="BL29" i="2"/>
  <c r="BL15" i="2"/>
  <c r="AJ89" i="2"/>
  <c r="AJ29" i="2"/>
  <c r="AK14" i="2"/>
  <c r="AJ14" i="2"/>
  <c r="AJ15" i="2" s="1"/>
  <c r="AH14" i="2"/>
  <c r="AM14" i="2"/>
  <c r="AL14" i="2"/>
  <c r="AI14" i="2"/>
  <c r="AI15" i="2" s="1"/>
  <c r="AU14" i="2"/>
  <c r="AT14" i="2"/>
  <c r="AN14" i="2"/>
  <c r="M87" i="2"/>
  <c r="M61" i="2"/>
  <c r="AT29" i="2"/>
  <c r="AT89" i="2"/>
  <c r="BL56" i="2"/>
  <c r="S19" i="2"/>
  <c r="L157" i="6"/>
  <c r="AE142" i="6"/>
  <c r="M142" i="6"/>
  <c r="Z172" i="6"/>
  <c r="AL160" i="6"/>
  <c r="AL172" i="6" s="1"/>
  <c r="AC160" i="6"/>
  <c r="AC172" i="6" s="1"/>
  <c r="Q172" i="6"/>
  <c r="AB173" i="6" s="1"/>
  <c r="S142" i="6"/>
  <c r="S143" i="6" s="1"/>
  <c r="AM101" i="6"/>
  <c r="AM102" i="6"/>
  <c r="AH42" i="6"/>
  <c r="AI157" i="6"/>
  <c r="AM55" i="6"/>
  <c r="AK42" i="6"/>
  <c r="AC131" i="6"/>
  <c r="AG167" i="6"/>
  <c r="AG172" i="6" s="1"/>
  <c r="AK57" i="6"/>
  <c r="AF57" i="6"/>
  <c r="V142" i="6"/>
  <c r="V143" i="6" s="1"/>
  <c r="AH130" i="6"/>
  <c r="AH142" i="6" s="1"/>
  <c r="W157" i="6"/>
  <c r="W158" i="6" s="1"/>
  <c r="AL57" i="6"/>
  <c r="V157" i="6"/>
  <c r="V158" i="6" s="1"/>
  <c r="AK172" i="6"/>
  <c r="AM56" i="6"/>
  <c r="AE157" i="6"/>
  <c r="AM48" i="6"/>
  <c r="AG146" i="6"/>
  <c r="AG157" i="6" s="1"/>
  <c r="U157" i="6"/>
  <c r="U158" i="6" s="1"/>
  <c r="AD92" i="6"/>
  <c r="AH163" i="6"/>
  <c r="AH172" i="6" s="1"/>
  <c r="AM39" i="6"/>
  <c r="AM90" i="6"/>
  <c r="AC42" i="6"/>
  <c r="S157" i="6"/>
  <c r="S158" i="6" s="1"/>
  <c r="AI92" i="6"/>
  <c r="Y142" i="6"/>
  <c r="Y143" i="6" s="1"/>
  <c r="AK130" i="6"/>
  <c r="AK142" i="6" s="1"/>
  <c r="Y172" i="6"/>
  <c r="AI172" i="6"/>
  <c r="AJ122" i="6"/>
  <c r="AI42" i="6"/>
  <c r="AD148" i="6"/>
  <c r="AM68" i="6"/>
  <c r="AF42" i="6"/>
  <c r="AD42" i="6"/>
  <c r="W172" i="6"/>
  <c r="AE57" i="6"/>
  <c r="AM63" i="6"/>
  <c r="N142" i="6"/>
  <c r="AM84" i="6"/>
  <c r="X157" i="6"/>
  <c r="X158" i="6" s="1"/>
  <c r="AJ145" i="6"/>
  <c r="AJ157" i="6" s="1"/>
  <c r="AD72" i="6"/>
  <c r="J157" i="6"/>
  <c r="R172" i="6"/>
  <c r="AM70" i="6"/>
  <c r="AM34" i="6"/>
  <c r="AM45" i="6"/>
  <c r="N157" i="6"/>
  <c r="AF168" i="6"/>
  <c r="AE172" i="6"/>
  <c r="AK122" i="6"/>
  <c r="AK153" i="6"/>
  <c r="AK157" i="6" s="1"/>
  <c r="R142" i="6"/>
  <c r="R143" i="6" s="1"/>
  <c r="AD130" i="6"/>
  <c r="AD142" i="6" s="1"/>
  <c r="AH72" i="6"/>
  <c r="AH154" i="6"/>
  <c r="AF170" i="6"/>
  <c r="AC134" i="6"/>
  <c r="AC57" i="6"/>
  <c r="AD57" i="6"/>
  <c r="Q157" i="6"/>
  <c r="Q158" i="6" s="1"/>
  <c r="AC145" i="6"/>
  <c r="R157" i="6"/>
  <c r="R158" i="6" s="1"/>
  <c r="AD145" i="6"/>
  <c r="S172" i="6"/>
  <c r="F172" i="6"/>
  <c r="V172" i="6"/>
  <c r="AJ72" i="6"/>
  <c r="U142" i="6"/>
  <c r="U143" i="6" s="1"/>
  <c r="AG130" i="6"/>
  <c r="AG142" i="6" s="1"/>
  <c r="AM62" i="6"/>
  <c r="AM35" i="6"/>
  <c r="AK72" i="6"/>
  <c r="AJ160" i="6"/>
  <c r="AJ172" i="6" s="1"/>
  <c r="X172" i="6"/>
  <c r="AL142" i="6"/>
  <c r="AI130" i="6"/>
  <c r="AI142" i="6" s="1"/>
  <c r="W142" i="6"/>
  <c r="W143" i="6" s="1"/>
  <c r="AM36" i="6"/>
  <c r="AM69" i="6"/>
  <c r="AJ42" i="6"/>
  <c r="G142" i="6"/>
  <c r="Z142" i="6"/>
  <c r="AM119" i="6"/>
  <c r="AL42" i="6"/>
  <c r="AM54" i="6"/>
  <c r="AM111" i="6"/>
  <c r="AE72" i="6"/>
  <c r="AJ130" i="6"/>
  <c r="AJ142" i="6" s="1"/>
  <c r="X142" i="6"/>
  <c r="X143" i="6" s="1"/>
  <c r="AC72" i="6"/>
  <c r="AM115" i="6"/>
  <c r="Q142" i="6"/>
  <c r="Q143" i="6" s="1"/>
  <c r="AC130" i="6"/>
  <c r="AI72" i="6"/>
  <c r="AC107" i="6"/>
  <c r="AM50" i="6"/>
  <c r="AM80" i="6"/>
  <c r="AF156" i="6"/>
  <c r="AF157" i="6" s="1"/>
  <c r="AG42" i="6"/>
  <c r="T142" i="6"/>
  <c r="T143" i="6" s="1"/>
  <c r="AF130" i="6"/>
  <c r="AF142" i="6" s="1"/>
  <c r="AD164" i="6"/>
  <c r="AD172" i="6" s="1"/>
  <c r="AM116" i="6"/>
  <c r="AF72" i="6"/>
  <c r="L172" i="6"/>
  <c r="AM91" i="6"/>
  <c r="Z157" i="6"/>
  <c r="AC92" i="6"/>
  <c r="M157" i="6"/>
  <c r="AH157" i="6" l="1"/>
  <c r="AM122" i="6"/>
  <c r="AF172" i="6"/>
  <c r="AM42" i="6"/>
  <c r="L56" i="2"/>
  <c r="AM56" i="2"/>
  <c r="AC157" i="6"/>
  <c r="AK56" i="2"/>
  <c r="AM107" i="6"/>
  <c r="M56" i="2"/>
  <c r="S14" i="2"/>
  <c r="T73" i="2"/>
  <c r="T56" i="2"/>
  <c r="T66" i="2"/>
  <c r="AU56" i="2"/>
  <c r="BH56" i="2"/>
  <c r="J56" i="2"/>
  <c r="AI56" i="2"/>
  <c r="BK56" i="2"/>
  <c r="BI56" i="2"/>
  <c r="AI62" i="2"/>
  <c r="AI88" i="2"/>
  <c r="BJ62" i="2"/>
  <c r="BJ66" i="2" s="1"/>
  <c r="BJ88" i="2"/>
  <c r="BK62" i="2"/>
  <c r="BK66" i="2" s="1"/>
  <c r="BK69" i="2"/>
  <c r="BK88" i="2"/>
  <c r="AL61" i="2"/>
  <c r="AL68" i="2"/>
  <c r="AL87" i="2"/>
  <c r="AM61" i="2"/>
  <c r="AM87" i="2"/>
  <c r="H89" i="2"/>
  <c r="H29" i="2"/>
  <c r="H15" i="2"/>
  <c r="O16" i="2"/>
  <c r="S16" i="2"/>
  <c r="J62" i="2"/>
  <c r="J66" i="2" s="1"/>
  <c r="J88" i="2"/>
  <c r="AH61" i="2"/>
  <c r="AH87" i="2"/>
  <c r="AO14" i="2"/>
  <c r="AS14" i="2" s="1"/>
  <c r="I62" i="2"/>
  <c r="I66" i="2" s="1"/>
  <c r="I88" i="2"/>
  <c r="AJ61" i="2"/>
  <c r="AJ87" i="2"/>
  <c r="BK73" i="2"/>
  <c r="AK61" i="2"/>
  <c r="AK87" i="2"/>
  <c r="AK68" i="2"/>
  <c r="AK15" i="2"/>
  <c r="BT62" i="2"/>
  <c r="BT66" i="2" s="1"/>
  <c r="BT88" i="2"/>
  <c r="BT69" i="2"/>
  <c r="BT73" i="2" s="1"/>
  <c r="AG47" i="2"/>
  <c r="AS47" i="2" s="1"/>
  <c r="AH16" i="2"/>
  <c r="BL62" i="2"/>
  <c r="BL66" i="2" s="1"/>
  <c r="BL88" i="2"/>
  <c r="BL69" i="2"/>
  <c r="BL73" i="2" s="1"/>
  <c r="BU62" i="2"/>
  <c r="BU66" i="2" s="1"/>
  <c r="BU69" i="2"/>
  <c r="BU73" i="2" s="1"/>
  <c r="BU88" i="2"/>
  <c r="AT61" i="2"/>
  <c r="AT87" i="2"/>
  <c r="AT68" i="2"/>
  <c r="AI61" i="2"/>
  <c r="AI87" i="2"/>
  <c r="AJ88" i="2"/>
  <c r="AJ62" i="2"/>
  <c r="M62" i="2"/>
  <c r="M66" i="2" s="1"/>
  <c r="M88" i="2"/>
  <c r="U62" i="2"/>
  <c r="U66" i="2" s="1"/>
  <c r="U88" i="2"/>
  <c r="U69" i="2"/>
  <c r="U73" i="2" s="1"/>
  <c r="K69" i="2"/>
  <c r="K73" i="2" s="1"/>
  <c r="K62" i="2"/>
  <c r="K66" i="2" s="1"/>
  <c r="K88" i="2"/>
  <c r="BM62" i="2"/>
  <c r="BM66" i="2" s="1"/>
  <c r="BM88" i="2"/>
  <c r="BH88" i="2"/>
  <c r="BH62" i="2"/>
  <c r="BH66" i="2" s="1"/>
  <c r="AL15" i="2"/>
  <c r="AN87" i="2"/>
  <c r="AN15" i="2"/>
  <c r="AN88" i="2" s="1"/>
  <c r="L68" i="2"/>
  <c r="L87" i="2"/>
  <c r="L61" i="2"/>
  <c r="AU61" i="2"/>
  <c r="AU87" i="2"/>
  <c r="AU68" i="2"/>
  <c r="AU15" i="2"/>
  <c r="AT15" i="2"/>
  <c r="AM15" i="2"/>
  <c r="BO15" i="2"/>
  <c r="BS15" i="2" s="1"/>
  <c r="BO29" i="2"/>
  <c r="BS29" i="2" s="1"/>
  <c r="BS16" i="2"/>
  <c r="BI62" i="2"/>
  <c r="BI66" i="2" s="1"/>
  <c r="BI88" i="2"/>
  <c r="L15" i="2"/>
  <c r="AC142" i="6"/>
  <c r="AM57" i="6"/>
  <c r="AD157" i="6"/>
  <c r="AM92" i="6"/>
  <c r="H62" i="2" l="1"/>
  <c r="H66" i="2" s="1"/>
  <c r="H88" i="2"/>
  <c r="L62" i="2"/>
  <c r="L66" i="2" s="1"/>
  <c r="L69" i="2"/>
  <c r="L73" i="2" s="1"/>
  <c r="L88" i="2"/>
  <c r="AM62" i="2"/>
  <c r="AM66" i="2" s="1"/>
  <c r="AM88" i="2"/>
  <c r="AL69" i="2"/>
  <c r="AL62" i="2"/>
  <c r="AL66" i="2" s="1"/>
  <c r="AL88" i="2"/>
  <c r="AL73" i="2"/>
  <c r="AH89" i="2"/>
  <c r="AH15" i="2"/>
  <c r="AH29" i="2"/>
  <c r="AO16" i="2"/>
  <c r="AS16" i="2" s="1"/>
  <c r="AU62" i="2"/>
  <c r="AU66" i="2" s="1"/>
  <c r="AU88" i="2"/>
  <c r="AU69" i="2"/>
  <c r="AU73" i="2" s="1"/>
  <c r="O15" i="2"/>
  <c r="S15" i="2" s="1"/>
  <c r="O29" i="2"/>
  <c r="S29" i="2" s="1"/>
  <c r="AK88" i="2"/>
  <c r="AK69" i="2"/>
  <c r="AK73" i="2" s="1"/>
  <c r="AK62" i="2"/>
  <c r="AK66" i="2" s="1"/>
  <c r="AI66" i="2"/>
  <c r="AJ66" i="2"/>
  <c r="AT62" i="2"/>
  <c r="AT66" i="2" s="1"/>
  <c r="AT88" i="2"/>
  <c r="AT69" i="2"/>
  <c r="AT73" i="2" s="1"/>
  <c r="AO29" i="2" l="1"/>
  <c r="AO15" i="2"/>
  <c r="AH62" i="2"/>
  <c r="AH66" i="2" s="1"/>
  <c r="AH88" i="2"/>
  <c r="AS15" i="2"/>
  <c r="AS29" i="2"/>
  <c r="D24" i="1" l="1"/>
  <c r="D23" i="1"/>
  <c r="D21" i="1"/>
  <c r="D20" i="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D25" i="1" l="1"/>
  <c r="D27" i="1" l="1"/>
  <c r="D28" i="1" l="1"/>
  <c r="D29" i="1" l="1"/>
  <c r="D31" i="1" l="1"/>
  <c r="D32" i="1" l="1"/>
  <c r="D33" i="1" l="1"/>
  <c r="E32" i="1"/>
  <c r="E19" i="1" l="1"/>
  <c r="E33" i="1"/>
  <c r="E23" i="1"/>
  <c r="E24" i="1"/>
  <c r="E20" i="1"/>
  <c r="E21" i="1"/>
  <c r="E25" i="1"/>
  <c r="E27" i="1"/>
  <c r="E28" i="1"/>
  <c r="E29"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tc={DB46BF74-F98B-4AA6-AE93-0FF4988F345D}</author>
    <author>tc={D4EDCEEC-D7F8-4F27-9B44-2398BCA4F7B3}</author>
  </authors>
  <commentList>
    <comment ref="R183" authorId="0" shapeId="0" xr:uid="{DB46BF74-F98B-4AA6-AE93-0FF4988F345D}">
      <text>
        <t>[Threaded comment]
Your version of Excel allows you to read this threaded comment; however, any edits to it will get removed if the file is opened in a newer version of Excel. Learn more: https://go.microsoft.com/fwlink/?linkid=870924
Comment:
    Not included in Sales Forecast</t>
      </text>
    </comment>
    <comment ref="V183" authorId="1" shapeId="0" xr:uid="{D4EDCEEC-D7F8-4F27-9B44-2398BCA4F7B3}">
      <text>
        <t xml:space="preserve">[Threaded comment]
Your version of Excel allows you to read this threaded comment; however, any edits to it will get removed if the file is opened in a newer version of Excel. Learn more: https://go.microsoft.com/fwlink/?linkid=870924
Comment:
    Confirm w/ @Develle, Penney
Reply:
    The total base revenue is in the tab "by Class - All Yrs" row number 205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L55" authorId="0" shapeId="0" xr:uid="{DE96A969-ADE3-4E62-91CD-FC6506A6E797}">
      <text>
        <r>
          <rPr>
            <sz val="8"/>
            <color indexed="81"/>
            <rFont val="Tahoma"/>
            <family val="2"/>
          </rPr>
          <t xml:space="preserve">N/A AS NOT ENOUGH DATA TO CALC
</t>
        </r>
      </text>
    </comment>
    <comment ref="T55" authorId="0" shapeId="0" xr:uid="{79700536-0AF2-4657-9276-8B571307FD19}">
      <text>
        <r>
          <rPr>
            <sz val="8"/>
            <color indexed="81"/>
            <rFont val="Tahoma"/>
            <family val="2"/>
          </rPr>
          <t xml:space="preserve">N/A AS NOT ENOUGH DATA TO CALC
</t>
        </r>
      </text>
    </comment>
    <comment ref="U55" authorId="0" shapeId="0" xr:uid="{07D8422B-8325-455D-96C8-53BF8261B256}">
      <text>
        <r>
          <rPr>
            <sz val="8"/>
            <color indexed="81"/>
            <rFont val="Tahoma"/>
            <family val="2"/>
          </rPr>
          <t xml:space="preserve">N/A AS NOT ENOUGH DATA TO CALC
</t>
        </r>
      </text>
    </comment>
    <comment ref="AL55" authorId="0" shapeId="0" xr:uid="{B6CFCDF2-047D-49AA-ACDB-09BB16204915}">
      <text>
        <r>
          <rPr>
            <sz val="8"/>
            <color indexed="81"/>
            <rFont val="Tahoma"/>
            <family val="2"/>
          </rPr>
          <t xml:space="preserve">N/A AS NOT ENOUGH DATA TO CALC
</t>
        </r>
      </text>
    </comment>
    <comment ref="AT55" authorId="0" shapeId="0" xr:uid="{1D1AF403-37F5-4C1A-A84B-C7FAE8F89499}">
      <text>
        <r>
          <rPr>
            <sz val="8"/>
            <color indexed="81"/>
            <rFont val="Tahoma"/>
            <family val="2"/>
          </rPr>
          <t xml:space="preserve">N/A AS NOT ENOUGH DATA TO CALC
</t>
        </r>
      </text>
    </comment>
    <comment ref="AU55" authorId="0" shapeId="0" xr:uid="{DC9E0FB0-1AB4-4F34-B2BA-B039937C5432}">
      <text>
        <r>
          <rPr>
            <sz val="8"/>
            <color indexed="81"/>
            <rFont val="Tahoma"/>
            <family val="2"/>
          </rPr>
          <t xml:space="preserve">N/A AS NOT ENOUGH DATA TO CALC
</t>
        </r>
      </text>
    </comment>
    <comment ref="BL55" authorId="0" shapeId="0" xr:uid="{F90D3B0A-B7D1-4C39-8615-1FABD9D141DF}">
      <text>
        <r>
          <rPr>
            <sz val="8"/>
            <color indexed="81"/>
            <rFont val="Tahoma"/>
            <family val="2"/>
          </rPr>
          <t xml:space="preserve">N/A AS NOT ENOUGH DATA TO CALC
</t>
        </r>
      </text>
    </comment>
    <comment ref="BT55" authorId="0" shapeId="0" xr:uid="{3FF064F8-670D-417E-8B73-7583F4B536B7}">
      <text>
        <r>
          <rPr>
            <sz val="8"/>
            <color indexed="81"/>
            <rFont val="Tahoma"/>
            <family val="2"/>
          </rPr>
          <t xml:space="preserve">N/A AS NOT ENOUGH DATA TO CALC
</t>
        </r>
      </text>
    </comment>
    <comment ref="BU55" authorId="0" shapeId="0" xr:uid="{2EFC5C3C-1DBE-4122-B9C6-960E6925459E}">
      <text>
        <r>
          <rPr>
            <sz val="8"/>
            <color indexed="81"/>
            <rFont val="Tahoma"/>
            <family val="2"/>
          </rPr>
          <t xml:space="preserve">N/A AS NOT ENOUGH DATA TO CALC
</t>
        </r>
      </text>
    </comment>
    <comment ref="U72" authorId="0" shapeId="0" xr:uid="{9C004006-F643-4D79-914A-B2E8EF6F2E43}">
      <text>
        <r>
          <rPr>
            <b/>
            <sz val="8"/>
            <color indexed="81"/>
            <rFont val="Tahoma"/>
            <family val="2"/>
          </rPr>
          <t>::</t>
        </r>
        <r>
          <rPr>
            <sz val="8"/>
            <color indexed="81"/>
            <rFont val="Tahoma"/>
            <family val="2"/>
          </rPr>
          <t xml:space="preserve">
NA AS NOT ENOUGH DATA TO CALC</t>
        </r>
      </text>
    </comment>
    <comment ref="AU72" authorId="0" shapeId="0" xr:uid="{C4F6C1B4-B2AA-4B60-B2DA-7AB086C4F095}">
      <text>
        <r>
          <rPr>
            <b/>
            <sz val="8"/>
            <color indexed="81"/>
            <rFont val="Tahoma"/>
            <family val="2"/>
          </rPr>
          <t>::</t>
        </r>
        <r>
          <rPr>
            <sz val="8"/>
            <color indexed="81"/>
            <rFont val="Tahoma"/>
            <family val="2"/>
          </rPr>
          <t xml:space="preserve">
NA AS NOT ENOUGH DATA TO CALC</t>
        </r>
      </text>
    </comment>
    <comment ref="BU72" authorId="0" shapeId="0" xr:uid="{51788DCB-6AA0-4EBE-96E8-8C79239A2CFD}">
      <text>
        <r>
          <rPr>
            <b/>
            <sz val="8"/>
            <color indexed="81"/>
            <rFont val="Tahoma"/>
            <family val="2"/>
          </rPr>
          <t>::</t>
        </r>
        <r>
          <rPr>
            <sz val="8"/>
            <color indexed="81"/>
            <rFont val="Tahoma"/>
            <family val="2"/>
          </rPr>
          <t xml:space="preserve">
NA AS NOT ENOUGH DATA TO CALC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L55" authorId="0" shapeId="0" xr:uid="{881263FC-4397-4E51-8384-1AC584B2C806}">
      <text>
        <r>
          <rPr>
            <sz val="8"/>
            <color indexed="81"/>
            <rFont val="Tahoma"/>
            <family val="2"/>
          </rPr>
          <t xml:space="preserve">N/A AS NOT ENOUGH DATA TO CALC
</t>
        </r>
      </text>
    </comment>
    <comment ref="T55" authorId="0" shapeId="0" xr:uid="{8558557C-9173-47A9-9F4C-6EDF99FFED24}">
      <text>
        <r>
          <rPr>
            <sz val="8"/>
            <color indexed="81"/>
            <rFont val="Tahoma"/>
            <family val="2"/>
          </rPr>
          <t xml:space="preserve">N/A AS NOT ENOUGH DATA TO CALC
</t>
        </r>
      </text>
    </comment>
    <comment ref="U55" authorId="0" shapeId="0" xr:uid="{C21FC0C2-CA74-41BB-B1CC-F37E0949CCD9}">
      <text>
        <r>
          <rPr>
            <sz val="8"/>
            <color indexed="81"/>
            <rFont val="Tahoma"/>
            <family val="2"/>
          </rPr>
          <t xml:space="preserve">N/A AS NOT ENOUGH DATA TO CALC
</t>
        </r>
      </text>
    </comment>
    <comment ref="AL55" authorId="0" shapeId="0" xr:uid="{777B1D64-5774-44C1-8A0C-B110909CD25C}">
      <text>
        <r>
          <rPr>
            <sz val="8"/>
            <color indexed="81"/>
            <rFont val="Tahoma"/>
            <family val="2"/>
          </rPr>
          <t xml:space="preserve">N/A AS NOT ENOUGH DATA TO CALC
</t>
        </r>
      </text>
    </comment>
    <comment ref="AT55" authorId="0" shapeId="0" xr:uid="{C413E631-ECDC-4066-BE66-918C3986C5BA}">
      <text>
        <r>
          <rPr>
            <sz val="8"/>
            <color indexed="81"/>
            <rFont val="Tahoma"/>
            <family val="2"/>
          </rPr>
          <t xml:space="preserve">N/A AS NOT ENOUGH DATA TO CALC
</t>
        </r>
      </text>
    </comment>
    <comment ref="AU55" authorId="0" shapeId="0" xr:uid="{002B3FD1-9A06-45E5-92D1-875BD4DE0DA6}">
      <text>
        <r>
          <rPr>
            <sz val="8"/>
            <color indexed="81"/>
            <rFont val="Tahoma"/>
            <family val="2"/>
          </rPr>
          <t xml:space="preserve">N/A AS NOT ENOUGH DATA TO CALC
</t>
        </r>
      </text>
    </comment>
    <comment ref="BL55" authorId="0" shapeId="0" xr:uid="{671A7137-FFBD-4250-8993-168262F1F3D5}">
      <text>
        <r>
          <rPr>
            <sz val="8"/>
            <color indexed="81"/>
            <rFont val="Tahoma"/>
            <family val="2"/>
          </rPr>
          <t xml:space="preserve">N/A AS NOT ENOUGH DATA TO CALC
</t>
        </r>
      </text>
    </comment>
    <comment ref="BT55" authorId="0" shapeId="0" xr:uid="{1C31E3C9-29C2-4D0C-B5AC-B6DAB169EC33}">
      <text>
        <r>
          <rPr>
            <sz val="8"/>
            <color indexed="81"/>
            <rFont val="Tahoma"/>
            <family val="2"/>
          </rPr>
          <t xml:space="preserve">N/A AS NOT ENOUGH DATA TO CALC
</t>
        </r>
      </text>
    </comment>
    <comment ref="BU55" authorId="0" shapeId="0" xr:uid="{D703ADB8-3D22-4D4E-A540-AE3A34D2429F}">
      <text>
        <r>
          <rPr>
            <sz val="8"/>
            <color indexed="81"/>
            <rFont val="Tahoma"/>
            <family val="2"/>
          </rPr>
          <t xml:space="preserve">N/A AS NOT ENOUGH DATA TO CALC
</t>
        </r>
      </text>
    </comment>
    <comment ref="U72" authorId="0" shapeId="0" xr:uid="{143F4173-4B0F-4169-88BA-7CAF75E1730C}">
      <text>
        <r>
          <rPr>
            <b/>
            <sz val="8"/>
            <color indexed="81"/>
            <rFont val="Tahoma"/>
            <family val="2"/>
          </rPr>
          <t>::</t>
        </r>
        <r>
          <rPr>
            <sz val="8"/>
            <color indexed="81"/>
            <rFont val="Tahoma"/>
            <family val="2"/>
          </rPr>
          <t xml:space="preserve">
NA AS NOT ENOUGH DATA TO CALC</t>
        </r>
      </text>
    </comment>
    <comment ref="AU72" authorId="0" shapeId="0" xr:uid="{A670DCC0-6569-4EF7-AA52-A8222DB4253E}">
      <text>
        <r>
          <rPr>
            <b/>
            <sz val="8"/>
            <color indexed="81"/>
            <rFont val="Tahoma"/>
            <family val="2"/>
          </rPr>
          <t>::</t>
        </r>
        <r>
          <rPr>
            <sz val="8"/>
            <color indexed="81"/>
            <rFont val="Tahoma"/>
            <family val="2"/>
          </rPr>
          <t xml:space="preserve">
NA AS NOT ENOUGH DATA TO CALC</t>
        </r>
      </text>
    </comment>
    <comment ref="BU72" authorId="0" shapeId="0" xr:uid="{83481E46-FE44-412B-810C-C000458E6F6B}">
      <text>
        <r>
          <rPr>
            <b/>
            <sz val="8"/>
            <color indexed="81"/>
            <rFont val="Tahoma"/>
            <family val="2"/>
          </rPr>
          <t>::</t>
        </r>
        <r>
          <rPr>
            <sz val="8"/>
            <color indexed="81"/>
            <rFont val="Tahoma"/>
            <family val="2"/>
          </rPr>
          <t xml:space="preserve">
NA AS NOT ENOUGH DATA TO CALC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Ot02273</author>
  </authors>
  <commentList>
    <comment ref="K11" authorId="0" shapeId="0" xr:uid="{331AE234-23EC-4CB3-8A45-5894E7EC7120}">
      <text>
        <r>
          <rPr>
            <sz val="10"/>
            <color indexed="81"/>
            <rFont val="Tahoma"/>
            <family val="2"/>
          </rPr>
          <t>Effective Sales are the result of adjusting the MWH sales for metering voltages above secondary.
All Sales MWH are presented here at secondary because rates are set at secondary, and voltage credits are added to Tr &amp; PR</t>
        </r>
      </text>
    </comment>
    <comment ref="AK11" authorId="0" shapeId="0" xr:uid="{145F4DC4-7ACC-42F8-A657-89C436EFE14F}">
      <text>
        <r>
          <rPr>
            <sz val="10"/>
            <color indexed="81"/>
            <rFont val="Tahoma"/>
            <family val="2"/>
          </rPr>
          <t>Effective Sales are the result of adjusting the MWH sales for metering voltages above secondary.
All Sales MWH are presented here at secondary because rates are set at secondary, and voltage credits are added to Tr &amp; PR</t>
        </r>
      </text>
    </comment>
    <comment ref="BK11" authorId="0" shapeId="0" xr:uid="{84543672-7218-4885-9279-B8382E50BCE0}">
      <text>
        <r>
          <rPr>
            <sz val="10"/>
            <color indexed="81"/>
            <rFont val="Tahoma"/>
            <family val="2"/>
          </rPr>
          <t>Effective Sales are the result of adjusting the MWH sales for metering voltages above secondary.
All Sales MWH are presented here at secondary because rates are set at secondary, and voltage credits are added to Tr &amp; PR</t>
        </r>
      </text>
    </comment>
    <comment ref="H40" authorId="1" shapeId="0" xr:uid="{7D164B60-B959-47BE-B558-0DDB54E8BD35}">
      <text>
        <r>
          <rPr>
            <b/>
            <sz val="8"/>
            <color indexed="81"/>
            <rFont val="Tahoma"/>
            <family val="2"/>
          </rPr>
          <t xml:space="preserve">Number of standy-by billing days.
</t>
        </r>
        <r>
          <rPr>
            <sz val="8"/>
            <color indexed="81"/>
            <rFont val="Tahoma"/>
            <family val="2"/>
          </rPr>
          <t xml:space="preserve">
</t>
        </r>
      </text>
    </comment>
    <comment ref="AH40" authorId="1" shapeId="0" xr:uid="{5C21D1C5-DD7E-4E4B-9CF2-06A0A68D65AE}">
      <text>
        <r>
          <rPr>
            <b/>
            <sz val="8"/>
            <color indexed="81"/>
            <rFont val="Tahoma"/>
            <family val="2"/>
          </rPr>
          <t xml:space="preserve">Number of standy-by billing days.
</t>
        </r>
        <r>
          <rPr>
            <sz val="8"/>
            <color indexed="81"/>
            <rFont val="Tahoma"/>
            <family val="2"/>
          </rPr>
          <t xml:space="preserve">
</t>
        </r>
      </text>
    </comment>
    <comment ref="BH40" authorId="1" shapeId="0" xr:uid="{2213EFEE-B539-48BE-B366-5D0B1A119D9B}">
      <text>
        <r>
          <rPr>
            <b/>
            <sz val="8"/>
            <color indexed="81"/>
            <rFont val="Tahoma"/>
            <family val="2"/>
          </rPr>
          <t xml:space="preserve">Number of standy-by billing days.
</t>
        </r>
        <r>
          <rPr>
            <sz val="8"/>
            <color indexed="81"/>
            <rFont val="Tahoma"/>
            <family val="2"/>
          </rPr>
          <t xml:space="preserve">
</t>
        </r>
      </text>
    </comment>
    <comment ref="H41" authorId="1" shapeId="0" xr:uid="{CF1E50E2-CC49-4E3B-8372-5EF2DD5CA7C4}">
      <text>
        <r>
          <rPr>
            <b/>
            <sz val="8"/>
            <color indexed="81"/>
            <rFont val="Tahoma"/>
            <family val="2"/>
          </rPr>
          <t xml:space="preserve">Number of standy-by billing days.
</t>
        </r>
        <r>
          <rPr>
            <sz val="8"/>
            <color indexed="81"/>
            <rFont val="Tahoma"/>
            <family val="2"/>
          </rPr>
          <t xml:space="preserve">
</t>
        </r>
      </text>
    </comment>
    <comment ref="AH41" authorId="1" shapeId="0" xr:uid="{09CAF8CD-12B2-4BA5-9911-9B6639ADDC52}">
      <text>
        <r>
          <rPr>
            <b/>
            <sz val="8"/>
            <color indexed="81"/>
            <rFont val="Tahoma"/>
            <family val="2"/>
          </rPr>
          <t xml:space="preserve">Number of standy-by billing days.
</t>
        </r>
        <r>
          <rPr>
            <sz val="8"/>
            <color indexed="81"/>
            <rFont val="Tahoma"/>
            <family val="2"/>
          </rPr>
          <t xml:space="preserve">
</t>
        </r>
      </text>
    </comment>
    <comment ref="BH41" authorId="1" shapeId="0" xr:uid="{E2F57137-3E70-48E3-95A8-F3FCA1488560}">
      <text>
        <r>
          <rPr>
            <b/>
            <sz val="8"/>
            <color indexed="81"/>
            <rFont val="Tahoma"/>
            <family val="2"/>
          </rPr>
          <t xml:space="preserve">Number of standy-by billing days.
</t>
        </r>
        <r>
          <rPr>
            <sz val="8"/>
            <color indexed="81"/>
            <rFont val="Tahoma"/>
            <family val="2"/>
          </rPr>
          <t xml:space="preserve">
</t>
        </r>
      </text>
    </comment>
    <comment ref="H42" authorId="1" shapeId="0" xr:uid="{68E97C2A-8EB2-4ED0-8A9C-71220ABA440C}">
      <text>
        <r>
          <rPr>
            <b/>
            <sz val="8"/>
            <color indexed="81"/>
            <rFont val="Tahoma"/>
            <family val="2"/>
          </rPr>
          <t xml:space="preserve">Number of standy-by billing days.
</t>
        </r>
        <r>
          <rPr>
            <sz val="8"/>
            <color indexed="81"/>
            <rFont val="Tahoma"/>
            <family val="2"/>
          </rPr>
          <t xml:space="preserve">
</t>
        </r>
      </text>
    </comment>
    <comment ref="AH42" authorId="1" shapeId="0" xr:uid="{1268E05E-4DC1-4E80-AC0D-EE436169325F}">
      <text>
        <r>
          <rPr>
            <b/>
            <sz val="8"/>
            <color indexed="81"/>
            <rFont val="Tahoma"/>
            <family val="2"/>
          </rPr>
          <t xml:space="preserve">Number of standy-by billing days.
</t>
        </r>
        <r>
          <rPr>
            <sz val="8"/>
            <color indexed="81"/>
            <rFont val="Tahoma"/>
            <family val="2"/>
          </rPr>
          <t xml:space="preserve">
</t>
        </r>
      </text>
    </comment>
    <comment ref="BH42" authorId="1" shapeId="0" xr:uid="{D98C9EF5-A717-4261-99C4-28639E662863}">
      <text>
        <r>
          <rPr>
            <b/>
            <sz val="8"/>
            <color indexed="81"/>
            <rFont val="Tahoma"/>
            <family val="2"/>
          </rPr>
          <t xml:space="preserve">Number of standy-by billing days.
</t>
        </r>
        <r>
          <rPr>
            <sz val="8"/>
            <color indexed="81"/>
            <rFont val="Tahoma"/>
            <family val="2"/>
          </rPr>
          <t xml:space="preserve">
</t>
        </r>
      </text>
    </comment>
    <comment ref="H52" authorId="1" shapeId="0" xr:uid="{27DE38A9-B897-4E11-A5AC-01EC06934120}">
      <text>
        <r>
          <rPr>
            <b/>
            <sz val="8"/>
            <color indexed="81"/>
            <rFont val="Tahoma"/>
            <family val="2"/>
          </rPr>
          <t xml:space="preserve">Number of standy-by billing days.
</t>
        </r>
        <r>
          <rPr>
            <sz val="8"/>
            <color indexed="81"/>
            <rFont val="Tahoma"/>
            <family val="2"/>
          </rPr>
          <t xml:space="preserve">
</t>
        </r>
      </text>
    </comment>
    <comment ref="AH52" authorId="1" shapeId="0" xr:uid="{74DDD613-BE7A-4D01-A916-6354381D276D}">
      <text>
        <r>
          <rPr>
            <b/>
            <sz val="8"/>
            <color indexed="81"/>
            <rFont val="Tahoma"/>
            <family val="2"/>
          </rPr>
          <t xml:space="preserve">Number of standy-by billing days.
</t>
        </r>
        <r>
          <rPr>
            <sz val="8"/>
            <color indexed="81"/>
            <rFont val="Tahoma"/>
            <family val="2"/>
          </rPr>
          <t xml:space="preserve">
</t>
        </r>
      </text>
    </comment>
    <comment ref="BH52" authorId="1" shapeId="0" xr:uid="{7AED5DC8-6E90-49D9-BB26-20BDFABF294D}">
      <text>
        <r>
          <rPr>
            <b/>
            <sz val="8"/>
            <color indexed="81"/>
            <rFont val="Tahoma"/>
            <family val="2"/>
          </rPr>
          <t xml:space="preserve">Number of standy-by billing days.
</t>
        </r>
        <r>
          <rPr>
            <sz val="8"/>
            <color indexed="81"/>
            <rFont val="Tahoma"/>
            <family val="2"/>
          </rPr>
          <t xml:space="preserve">
</t>
        </r>
      </text>
    </comment>
    <comment ref="H53" authorId="1" shapeId="0" xr:uid="{75C95116-1747-4039-9413-B00850CC1D10}">
      <text>
        <r>
          <rPr>
            <b/>
            <sz val="8"/>
            <color indexed="81"/>
            <rFont val="Tahoma"/>
            <family val="2"/>
          </rPr>
          <t xml:space="preserve">Number of standy-by billing days.
</t>
        </r>
        <r>
          <rPr>
            <sz val="8"/>
            <color indexed="81"/>
            <rFont val="Tahoma"/>
            <family val="2"/>
          </rPr>
          <t xml:space="preserve">
</t>
        </r>
      </text>
    </comment>
    <comment ref="AH53" authorId="1" shapeId="0" xr:uid="{A9CE62C8-F72A-4623-9A64-F1E899B32F93}">
      <text>
        <r>
          <rPr>
            <b/>
            <sz val="8"/>
            <color indexed="81"/>
            <rFont val="Tahoma"/>
            <family val="2"/>
          </rPr>
          <t xml:space="preserve">Number of standy-by billing days.
</t>
        </r>
        <r>
          <rPr>
            <sz val="8"/>
            <color indexed="81"/>
            <rFont val="Tahoma"/>
            <family val="2"/>
          </rPr>
          <t xml:space="preserve">
</t>
        </r>
      </text>
    </comment>
    <comment ref="BH53" authorId="1" shapeId="0" xr:uid="{5753BBB2-27A3-4C2B-B4E8-61FE89851C81}">
      <text>
        <r>
          <rPr>
            <b/>
            <sz val="8"/>
            <color indexed="81"/>
            <rFont val="Tahoma"/>
            <family val="2"/>
          </rPr>
          <t xml:space="preserve">Number of standy-by billing days.
</t>
        </r>
        <r>
          <rPr>
            <sz val="8"/>
            <color indexed="81"/>
            <rFont val="Tahoma"/>
            <family val="2"/>
          </rPr>
          <t xml:space="preserve">
</t>
        </r>
      </text>
    </comment>
    <comment ref="H54" authorId="1" shapeId="0" xr:uid="{BB553571-8689-4C93-8EDF-8EDD5804F6C4}">
      <text>
        <r>
          <rPr>
            <b/>
            <sz val="8"/>
            <color indexed="81"/>
            <rFont val="Tahoma"/>
            <family val="2"/>
          </rPr>
          <t xml:space="preserve">Number of standy-by billing days.
</t>
        </r>
        <r>
          <rPr>
            <sz val="8"/>
            <color indexed="81"/>
            <rFont val="Tahoma"/>
            <family val="2"/>
          </rPr>
          <t xml:space="preserve">
</t>
        </r>
      </text>
    </comment>
    <comment ref="AH54" authorId="1" shapeId="0" xr:uid="{F69E1E99-CBD0-4361-B3A8-4039519E0C5B}">
      <text>
        <r>
          <rPr>
            <b/>
            <sz val="8"/>
            <color indexed="81"/>
            <rFont val="Tahoma"/>
            <family val="2"/>
          </rPr>
          <t xml:space="preserve">Number of standy-by billing days.
</t>
        </r>
        <r>
          <rPr>
            <sz val="8"/>
            <color indexed="81"/>
            <rFont val="Tahoma"/>
            <family val="2"/>
          </rPr>
          <t xml:space="preserve">
</t>
        </r>
      </text>
    </comment>
    <comment ref="BH54" authorId="1" shapeId="0" xr:uid="{3B30FE01-D7AE-4601-BF2E-04D42B7A7B89}">
      <text>
        <r>
          <rPr>
            <b/>
            <sz val="8"/>
            <color indexed="81"/>
            <rFont val="Tahoma"/>
            <family val="2"/>
          </rPr>
          <t xml:space="preserve">Number of standy-by billing days.
</t>
        </r>
        <r>
          <rPr>
            <sz val="8"/>
            <color indexed="81"/>
            <rFont val="Tahoma"/>
            <family val="2"/>
          </rPr>
          <t xml:space="preserve">
</t>
        </r>
      </text>
    </comment>
    <comment ref="H64" authorId="1" shapeId="0" xr:uid="{B0823937-764E-4E2F-B2CA-E13638081D72}">
      <text>
        <r>
          <rPr>
            <b/>
            <sz val="8"/>
            <color indexed="81"/>
            <rFont val="Tahoma"/>
            <family val="2"/>
          </rPr>
          <t xml:space="preserve">Number of standy-by billing days.
</t>
        </r>
        <r>
          <rPr>
            <sz val="8"/>
            <color indexed="81"/>
            <rFont val="Tahoma"/>
            <family val="2"/>
          </rPr>
          <t xml:space="preserve">
</t>
        </r>
      </text>
    </comment>
    <comment ref="AH64" authorId="1" shapeId="0" xr:uid="{B980BFAD-2C8C-40E4-B323-DEFD12262ACB}">
      <text>
        <r>
          <rPr>
            <b/>
            <sz val="8"/>
            <color indexed="81"/>
            <rFont val="Tahoma"/>
            <family val="2"/>
          </rPr>
          <t xml:space="preserve">Number of standy-by billing days.
</t>
        </r>
        <r>
          <rPr>
            <sz val="8"/>
            <color indexed="81"/>
            <rFont val="Tahoma"/>
            <family val="2"/>
          </rPr>
          <t xml:space="preserve">
</t>
        </r>
      </text>
    </comment>
    <comment ref="BH64" authorId="1" shapeId="0" xr:uid="{419C61AD-33FA-403F-8FCD-70F637D207F7}">
      <text>
        <r>
          <rPr>
            <b/>
            <sz val="8"/>
            <color indexed="81"/>
            <rFont val="Tahoma"/>
            <family val="2"/>
          </rPr>
          <t xml:space="preserve">Number of standy-by billing days.
</t>
        </r>
        <r>
          <rPr>
            <sz val="8"/>
            <color indexed="81"/>
            <rFont val="Tahoma"/>
            <family val="2"/>
          </rPr>
          <t xml:space="preserve">
</t>
        </r>
      </text>
    </comment>
    <comment ref="H65" authorId="1" shapeId="0" xr:uid="{421BDFC5-D938-4422-B970-E2C494531813}">
      <text>
        <r>
          <rPr>
            <b/>
            <sz val="8"/>
            <color indexed="81"/>
            <rFont val="Tahoma"/>
            <family val="2"/>
          </rPr>
          <t xml:space="preserve">Number of standy-by billing days.
</t>
        </r>
        <r>
          <rPr>
            <sz val="8"/>
            <color indexed="81"/>
            <rFont val="Tahoma"/>
            <family val="2"/>
          </rPr>
          <t xml:space="preserve">
</t>
        </r>
      </text>
    </comment>
    <comment ref="AH65" authorId="1" shapeId="0" xr:uid="{80A50080-600D-46E2-AFF2-0ED9C8053D10}">
      <text>
        <r>
          <rPr>
            <b/>
            <sz val="8"/>
            <color indexed="81"/>
            <rFont val="Tahoma"/>
            <family val="2"/>
          </rPr>
          <t xml:space="preserve">Number of standy-by billing days.
</t>
        </r>
        <r>
          <rPr>
            <sz val="8"/>
            <color indexed="81"/>
            <rFont val="Tahoma"/>
            <family val="2"/>
          </rPr>
          <t xml:space="preserve">
</t>
        </r>
      </text>
    </comment>
    <comment ref="BH65" authorId="1" shapeId="0" xr:uid="{9F880A96-F6BD-489E-B31C-1FFC84D05E14}">
      <text>
        <r>
          <rPr>
            <b/>
            <sz val="8"/>
            <color indexed="81"/>
            <rFont val="Tahoma"/>
            <family val="2"/>
          </rPr>
          <t xml:space="preserve">Number of standy-by billing days.
</t>
        </r>
        <r>
          <rPr>
            <sz val="8"/>
            <color indexed="81"/>
            <rFont val="Tahoma"/>
            <family val="2"/>
          </rPr>
          <t xml:space="preserve">
</t>
        </r>
      </text>
    </comment>
    <comment ref="H66" authorId="1" shapeId="0" xr:uid="{E56F7AA4-1311-456F-924F-4F6D03C58B50}">
      <text>
        <r>
          <rPr>
            <b/>
            <sz val="8"/>
            <color indexed="81"/>
            <rFont val="Tahoma"/>
            <family val="2"/>
          </rPr>
          <t xml:space="preserve">Number of standy-by billing days.
</t>
        </r>
        <r>
          <rPr>
            <sz val="8"/>
            <color indexed="81"/>
            <rFont val="Tahoma"/>
            <family val="2"/>
          </rPr>
          <t xml:space="preserve">
</t>
        </r>
      </text>
    </comment>
    <comment ref="AH66" authorId="1" shapeId="0" xr:uid="{E7CFC0D9-38D0-43A9-BA25-B9BEBC30B9C9}">
      <text>
        <r>
          <rPr>
            <b/>
            <sz val="8"/>
            <color indexed="81"/>
            <rFont val="Tahoma"/>
            <family val="2"/>
          </rPr>
          <t xml:space="preserve">Number of standy-by billing days.
</t>
        </r>
        <r>
          <rPr>
            <sz val="8"/>
            <color indexed="81"/>
            <rFont val="Tahoma"/>
            <family val="2"/>
          </rPr>
          <t xml:space="preserve">
</t>
        </r>
      </text>
    </comment>
    <comment ref="BH66" authorId="1" shapeId="0" xr:uid="{195B06C5-4FAE-47EE-BEC7-2CE07747F25C}">
      <text>
        <r>
          <rPr>
            <b/>
            <sz val="8"/>
            <color indexed="81"/>
            <rFont val="Tahoma"/>
            <family val="2"/>
          </rPr>
          <t xml:space="preserve">Number of standy-by billing days.
</t>
        </r>
        <r>
          <rPr>
            <sz val="8"/>
            <color indexed="81"/>
            <rFont val="Tahoma"/>
            <family val="2"/>
          </rPr>
          <t xml:space="preserve">
</t>
        </r>
      </text>
    </comment>
  </commentList>
</comments>
</file>

<file path=xl/sharedStrings.xml><?xml version="1.0" encoding="utf-8"?>
<sst xmlns="http://schemas.openxmlformats.org/spreadsheetml/2006/main" count="2266" uniqueCount="348">
  <si>
    <t>Schedule E-6a</t>
  </si>
  <si>
    <t>COST OF SERVICE STUDY - UNIT COSTS, PRESENT RATES</t>
  </si>
  <si>
    <t>Page 1 of 13</t>
  </si>
  <si>
    <t>FLORIDA PUBLIC SERVICE COMMISSION</t>
  </si>
  <si>
    <t>EXPLANATION:</t>
  </si>
  <si>
    <t>For each cost of service study filed by the Company, calculate the unit costs for demand, energy and</t>
  </si>
  <si>
    <t>Type of Data Shown:</t>
  </si>
  <si>
    <t>customer for each rate schedule at present rates, based on the revenue requirements from sales of</t>
  </si>
  <si>
    <t>COMPANY: DUKE ENERGY FLORIDA</t>
  </si>
  <si>
    <t>electricity only, excluding other operating revenues. The demand unit costs must be separated into</t>
  </si>
  <si>
    <t>production, transmission and distribution. Unit costs under present rates must be calculated at both the</t>
  </si>
  <si>
    <t>system and class rates of return. Unit costs must be provided separately for each existing rate class, except</t>
  </si>
  <si>
    <t>for the lighting classes.  If the company is proposing to combine two or more classes, it must also provide</t>
  </si>
  <si>
    <t>unit costs for the classes combined. Customer unit costs for the lighting class must include only</t>
  </si>
  <si>
    <t>customer-related costs excluding costs for fixtures and poles.  The lighting fixtures and poles must be shown</t>
  </si>
  <si>
    <t>on a separate line.  Billing units must match Schedules E-13c.</t>
  </si>
  <si>
    <t>Line No.</t>
  </si>
  <si>
    <t>Summaries of unit cost calculations under present rates are provided on the following pages as described below:</t>
  </si>
  <si>
    <t>2027 Production capacity allocation method 12 CP and 25% AD</t>
  </si>
  <si>
    <t>2026 Production capacity allocation method 12 CP and 25% AD</t>
  </si>
  <si>
    <t>2025 Production capacity allocation method 12 CP and 25% AD</t>
  </si>
  <si>
    <t>2027 Production capacity allocation method 12 CP and 1/13 AD</t>
  </si>
  <si>
    <t>2026 Production capacity allocation method 12 CP and 1/13 AD</t>
  </si>
  <si>
    <t>2025 Production capacity allocation method 12 CP and 1/13 AD</t>
  </si>
  <si>
    <t>2027 MWh sales for Billing Units section of E-6a and E-6b</t>
  </si>
  <si>
    <t>2026 MWh sales for Billing Units section of E-6a and E-6b</t>
  </si>
  <si>
    <t>2025 MWh sales for Billing Units section of E-6a and E-6b</t>
  </si>
  <si>
    <t>2027 KW sales for Billing Units section of E-6a and E-6b</t>
  </si>
  <si>
    <t>2026 KW sales for Billing Units section of E-6a and E-6b</t>
  </si>
  <si>
    <t>2025 KW sales for Billing Units section of E-6a and E-6b</t>
  </si>
  <si>
    <t>Supporting Schedules: E-1, E-3, E-4, E-13b</t>
  </si>
  <si>
    <t>Recap Schedules:</t>
  </si>
  <si>
    <t>See Schedule E-6a, Page 1 for explanation</t>
  </si>
  <si>
    <t>GEN SERV</t>
  </si>
  <si>
    <t>CURTAIL/</t>
  </si>
  <si>
    <t xml:space="preserve">EV </t>
  </si>
  <si>
    <t>Line</t>
  </si>
  <si>
    <t xml:space="preserve">TOTAL </t>
  </si>
  <si>
    <t>RESIDENTIAL</t>
  </si>
  <si>
    <t>NON DEM</t>
  </si>
  <si>
    <t>100% LF</t>
  </si>
  <si>
    <t>DEMAND</t>
  </si>
  <si>
    <t>INTERR</t>
  </si>
  <si>
    <t xml:space="preserve">     LIGHTING (LS)     </t>
  </si>
  <si>
    <t>SOLUTION</t>
  </si>
  <si>
    <t>CHECK</t>
  </si>
  <si>
    <t>CURTAIL</t>
  </si>
  <si>
    <t>No.</t>
  </si>
  <si>
    <t>RETAIL</t>
  </si>
  <si>
    <t>(RS)</t>
  </si>
  <si>
    <t>(GS-1)</t>
  </si>
  <si>
    <t>(GS-2)</t>
  </si>
  <si>
    <t>(GSD, SS-1)</t>
  </si>
  <si>
    <t>(CS, IS, SS-2, SS-3)</t>
  </si>
  <si>
    <t>ENERGY</t>
  </si>
  <si>
    <t>FACILITIES</t>
  </si>
  <si>
    <t>TOTALS</t>
  </si>
  <si>
    <t>(CS, SS-3)</t>
  </si>
  <si>
    <t>(IS, SS-2)</t>
  </si>
  <si>
    <t>COST OF SERVICE - (000'S):</t>
  </si>
  <si>
    <t>Production Capacity - CP Component</t>
  </si>
  <si>
    <t>Production Capacity - AD Component</t>
  </si>
  <si>
    <t>Production Capacity - Total</t>
  </si>
  <si>
    <t>Production Energy</t>
  </si>
  <si>
    <t>Transmission</t>
  </si>
  <si>
    <t>Distribution Primary</t>
  </si>
  <si>
    <t>Distribution Primary (MDS)</t>
  </si>
  <si>
    <t>CUSTOMER</t>
  </si>
  <si>
    <t>Distribution Secondary</t>
  </si>
  <si>
    <t>Distribution Secondary (MDS)</t>
  </si>
  <si>
    <t>Distribution Services</t>
  </si>
  <si>
    <t>Metering</t>
  </si>
  <si>
    <t>Interruptible Equipment</t>
  </si>
  <si>
    <t>Lighting Facilities</t>
  </si>
  <si>
    <t>N/A</t>
  </si>
  <si>
    <t>Customer Billing, Info, etc.</t>
  </si>
  <si>
    <t>Rounding Adjustment (Tie to Juris &amp; Class)</t>
  </si>
  <si>
    <t>Total</t>
  </si>
  <si>
    <t>BILLING UNITS:</t>
  </si>
  <si>
    <t>Number of Monthly Bills:</t>
  </si>
  <si>
    <t>LOOKUPS:</t>
  </si>
  <si>
    <t xml:space="preserve">Metered Bills </t>
  </si>
  <si>
    <t>Unmetered Bills</t>
  </si>
  <si>
    <t>UM</t>
  </si>
  <si>
    <t>Total Bills</t>
  </si>
  <si>
    <t>Total Bills with Secondary Service Tap</t>
  </si>
  <si>
    <t>S</t>
  </si>
  <si>
    <t>Total Bills with IS Equipment</t>
  </si>
  <si>
    <t>Annual Effective MWH Sales:</t>
  </si>
  <si>
    <t>Production and Transmission Services</t>
  </si>
  <si>
    <t>Distribution Primary Service</t>
  </si>
  <si>
    <t>Distribution Secondary Service</t>
  </si>
  <si>
    <t>Sum of Monthly Effective Billing KW:</t>
  </si>
  <si>
    <t>n/a</t>
  </si>
  <si>
    <t>12 CP Allocator</t>
  </si>
  <si>
    <t>Avg Demand Allocator</t>
  </si>
  <si>
    <t>UNIT COSTS:</t>
  </si>
  <si>
    <t>Customer Related Costs $/Bill:</t>
  </si>
  <si>
    <t>Distribution Service Tap</t>
  </si>
  <si>
    <t>Ln 11 / Ln 23</t>
  </si>
  <si>
    <t>Ln 12 / Ln 20</t>
  </si>
  <si>
    <t>Ln 13 / Ln 24</t>
  </si>
  <si>
    <t>Ln 15 / Ln 22</t>
  </si>
  <si>
    <t>Total Customer Related Costs $/Bill</t>
  </si>
  <si>
    <t>Energy Related Costs $/MWH:</t>
  </si>
  <si>
    <t>Ln 5 / Ln 26</t>
  </si>
  <si>
    <t>Total Energy Related Costs $/mWh</t>
  </si>
  <si>
    <t>Capacity Related Costs $/MWH:</t>
  </si>
  <si>
    <t>Production Capacity 12CP</t>
  </si>
  <si>
    <t>Ln 2 / Ln 26</t>
  </si>
  <si>
    <t>Production Capacity AD</t>
  </si>
  <si>
    <t>Ln 3 / Ln 26</t>
  </si>
  <si>
    <t>Ln 6 / Ln 26</t>
  </si>
  <si>
    <t>Ln 7 / Ln 27</t>
  </si>
  <si>
    <t>Ln 9 / Ln 28</t>
  </si>
  <si>
    <t>Total Capacity Related Costs $/mWh</t>
  </si>
  <si>
    <t>Or Billing Demand  $/kW/Month:</t>
  </si>
  <si>
    <t>Ln 2 / Ln 30</t>
  </si>
  <si>
    <t>Ln 3 / Ln 30</t>
  </si>
  <si>
    <t>Ln 6 / Ln 30</t>
  </si>
  <si>
    <t>Ln 7 / Ln 31</t>
  </si>
  <si>
    <t>Ln 9 / Ln 32</t>
  </si>
  <si>
    <t>Total Capacity Related Costs $/kW/Month</t>
  </si>
  <si>
    <t>RS-1</t>
  </si>
  <si>
    <t>GS-1</t>
  </si>
  <si>
    <t>GS-2</t>
  </si>
  <si>
    <t>GSD</t>
  </si>
  <si>
    <t>IS</t>
  </si>
  <si>
    <t>LS</t>
  </si>
  <si>
    <t>CS</t>
  </si>
  <si>
    <t>SS-1</t>
  </si>
  <si>
    <t>SS-3</t>
  </si>
  <si>
    <t>SS-2</t>
  </si>
  <si>
    <t>CHECKS s/b zero:</t>
  </si>
  <si>
    <t>AD Allocator</t>
  </si>
  <si>
    <t>12 CP &amp; 25% AD</t>
  </si>
  <si>
    <t>12 CP &amp; 1/13 AD</t>
  </si>
  <si>
    <t>(1)</t>
  </si>
  <si>
    <t>(2)</t>
  </si>
  <si>
    <t>(3)</t>
  </si>
  <si>
    <t>(4)</t>
  </si>
  <si>
    <t>(5)</t>
  </si>
  <si>
    <t>METER LEVEL</t>
  </si>
  <si>
    <t>METERING</t>
  </si>
  <si>
    <t>ENERGY AND</t>
  </si>
  <si>
    <t>DISTRIBUTION</t>
  </si>
  <si>
    <t xml:space="preserve"> </t>
  </si>
  <si>
    <t>MWH SALES</t>
  </si>
  <si>
    <t>VOLTAGE</t>
  </si>
  <si>
    <t>PROD./TRANSM.</t>
  </si>
  <si>
    <t xml:space="preserve">     PRIMARY     </t>
  </si>
  <si>
    <t>SECONDARY</t>
  </si>
  <si>
    <t>INCLUDING</t>
  </si>
  <si>
    <t>ADJUSTMENT</t>
  </si>
  <si>
    <t xml:space="preserve">    CAPACITY    </t>
  </si>
  <si>
    <t>EFFECTIVE</t>
  </si>
  <si>
    <t>RETAIL RATE SCHEDULE</t>
  </si>
  <si>
    <t xml:space="preserve">UNBILLED </t>
  </si>
  <si>
    <t>FACTOR</t>
  </si>
  <si>
    <t>EFFECTIVE SALES</t>
  </si>
  <si>
    <t xml:space="preserve"> SALES</t>
  </si>
  <si>
    <t xml:space="preserve">A. </t>
  </si>
  <si>
    <t>RESIDENTIAL - RS</t>
  </si>
  <si>
    <t xml:space="preserve">B. </t>
  </si>
  <si>
    <t>GENERAL SERVICE NON-DEMAND - GS-1</t>
  </si>
  <si>
    <t>Primary</t>
  </si>
  <si>
    <t>Sec Del/Prim Mtr</t>
  </si>
  <si>
    <t>Secondary</t>
  </si>
  <si>
    <t>TOTAL GS</t>
  </si>
  <si>
    <t xml:space="preserve">C. </t>
  </si>
  <si>
    <t>GS-2 100% LF</t>
  </si>
  <si>
    <t xml:space="preserve">D. </t>
  </si>
  <si>
    <t>GENERAL SERVICE DEMAND - GSD</t>
  </si>
  <si>
    <t>Trans Del/Prim Mtr</t>
  </si>
  <si>
    <t>Prim Del/Sec Mtr</t>
  </si>
  <si>
    <t>TOTAL GSD</t>
  </si>
  <si>
    <t xml:space="preserve">E. </t>
  </si>
  <si>
    <t>CURTAILABLE SERVICE - CS</t>
  </si>
  <si>
    <t>TOTAL CS</t>
  </si>
  <si>
    <t xml:space="preserve">F. </t>
  </si>
  <si>
    <t>INTERRUPTIBLE SERVICE - IS</t>
  </si>
  <si>
    <t>Prim Del/Trans Mtr</t>
  </si>
  <si>
    <t>TOTAL IS</t>
  </si>
  <si>
    <t xml:space="preserve">G. </t>
  </si>
  <si>
    <t>STANDBY SERVICE - SS-1 (FIRM)</t>
  </si>
  <si>
    <t>TOTAL SS-1</t>
  </si>
  <si>
    <t xml:space="preserve">H. </t>
  </si>
  <si>
    <t>STANDBY SERVICE - SS-2 (IS)</t>
  </si>
  <si>
    <t>TOTAL SS-2</t>
  </si>
  <si>
    <t xml:space="preserve">I. </t>
  </si>
  <si>
    <t>STANDBY SERVICE - SS-3 (CS)</t>
  </si>
  <si>
    <t>TOTAL SS-3</t>
  </si>
  <si>
    <t xml:space="preserve">J. </t>
  </si>
  <si>
    <t>LIGHTING -LS</t>
  </si>
  <si>
    <t>SUMMARY BY RATE CLASS:</t>
  </si>
  <si>
    <t>GENERAL SERVICE NON-DEMAND - GS-2</t>
  </si>
  <si>
    <t>GENERAL SERVICE DEMAND - GSD, SS-1</t>
  </si>
  <si>
    <t>CURTAILTAILABLE SERVICE - CS, SS-3</t>
  </si>
  <si>
    <t>INTERRUPTIBLE SERVICE - IS, SS-2</t>
  </si>
  <si>
    <t>LIGHTING - LS</t>
  </si>
  <si>
    <t>TOTAL</t>
  </si>
  <si>
    <t>Check</t>
  </si>
  <si>
    <t xml:space="preserve">This spreadsheet was formerly Table IV Supplement No. 2 as part of class COS book.  </t>
  </si>
  <si>
    <t>REALIZED</t>
  </si>
  <si>
    <t>ADJ SEC. LEVEL</t>
  </si>
  <si>
    <t>PROD &amp; TRANSM</t>
  </si>
  <si>
    <t>SUM OF</t>
  </si>
  <si>
    <t>BILLING</t>
  </si>
  <si>
    <t>REALIZED SUM OF</t>
  </si>
  <si>
    <t xml:space="preserve">     CAPACITY    </t>
  </si>
  <si>
    <t xml:space="preserve">  SECONDARY  </t>
  </si>
  <si>
    <t>MONTHLY BILLING</t>
  </si>
  <si>
    <t>KW</t>
  </si>
  <si>
    <t>Lookups-do not delete</t>
  </si>
  <si>
    <t xml:space="preserve"> BILLING KW</t>
  </si>
  <si>
    <t>Class</t>
  </si>
  <si>
    <t>Del</t>
  </si>
  <si>
    <t>Met</t>
  </si>
  <si>
    <t>A.</t>
  </si>
  <si>
    <t>Tran &lt;230kV</t>
  </si>
  <si>
    <t>Pri Del/Sec Mtr</t>
  </si>
  <si>
    <t>Sec.</t>
  </si>
  <si>
    <t>Sec Del/Pri Mtr</t>
  </si>
  <si>
    <t>Total GSD</t>
  </si>
  <si>
    <t>B.</t>
  </si>
  <si>
    <t>Total CS</t>
  </si>
  <si>
    <t>C.</t>
  </si>
  <si>
    <t>Transmission &lt; 230 kV</t>
  </si>
  <si>
    <t>Transmission &gt; 230 kV</t>
  </si>
  <si>
    <t>Tran &gt;230kV</t>
  </si>
  <si>
    <t>Trans Del/Pri Mtr</t>
  </si>
  <si>
    <t>Pri Del/Trans Mtr</t>
  </si>
  <si>
    <t>Total IS</t>
  </si>
  <si>
    <t>D.</t>
  </si>
  <si>
    <t>I. Monthly Standby Capacity</t>
  </si>
  <si>
    <t>II. Sum Daily Standby Capacity</t>
  </si>
  <si>
    <t>III. Distribution Capacity</t>
  </si>
  <si>
    <t/>
  </si>
  <si>
    <t>Standby Capacity - Primary</t>
  </si>
  <si>
    <t>Total SS-1</t>
  </si>
  <si>
    <t>E.</t>
  </si>
  <si>
    <t>Total SS-2</t>
  </si>
  <si>
    <t>F.</t>
  </si>
  <si>
    <t>Total SS-3</t>
  </si>
  <si>
    <t>SUMMARY BY RATE CLASS</t>
  </si>
  <si>
    <t>GENERAL SERVICE DEMAND - GSD,SS-1</t>
  </si>
  <si>
    <t>CURTAILABLE - CS, SS-3</t>
  </si>
  <si>
    <t>SS1</t>
  </si>
  <si>
    <t>SS2</t>
  </si>
  <si>
    <t>SS3</t>
  </si>
  <si>
    <t>=</t>
  </si>
  <si>
    <t>__X__  Projected Test Year Ended 12/31/27</t>
  </si>
  <si>
    <t>__X__  Projected Test Year Ended 12/31/26</t>
  </si>
  <si>
    <t>__X__  Projected Test Year Ended 12/31/25</t>
  </si>
  <si>
    <t>Witness:  Borsch, Olivier</t>
  </si>
  <si>
    <t>DOCKET NO.: 20240025-EI</t>
  </si>
  <si>
    <t>Ln 7 / Ln 22</t>
  </si>
  <si>
    <t>Ln 9 / Ln 22</t>
  </si>
  <si>
    <t>General Instructions:</t>
  </si>
  <si>
    <t>-</t>
  </si>
  <si>
    <t>Amounts in blue are inputs and red are links that need to be updated.</t>
  </si>
  <si>
    <t>Procedures:</t>
  </si>
  <si>
    <t>Update the following inputs.  These are linked within this file.</t>
  </si>
  <si>
    <t>Header:</t>
  </si>
  <si>
    <t>Forecasted Twelve Months Ending December 31, 2025</t>
  </si>
  <si>
    <t>Docket No.</t>
  </si>
  <si>
    <r>
      <t>__</t>
    </r>
    <r>
      <rPr>
        <u/>
        <sz val="11"/>
        <color rgb="FF0000FF"/>
        <rFont val="Calibri"/>
        <family val="2"/>
        <scheme val="minor"/>
      </rPr>
      <t>X</t>
    </r>
    <r>
      <rPr>
        <sz val="11"/>
        <color rgb="FF0000FF"/>
        <rFont val="Calibri"/>
        <family val="2"/>
        <scheme val="minor"/>
      </rPr>
      <t>__  Projected Test Year Ended 12/31/27</t>
    </r>
  </si>
  <si>
    <r>
      <t>__</t>
    </r>
    <r>
      <rPr>
        <u/>
        <sz val="11"/>
        <color rgb="FF0000FF"/>
        <rFont val="Calibri"/>
        <family val="2"/>
        <scheme val="minor"/>
      </rPr>
      <t>X</t>
    </r>
    <r>
      <rPr>
        <sz val="11"/>
        <color rgb="FF0000FF"/>
        <rFont val="Calibri"/>
        <family val="2"/>
        <scheme val="minor"/>
      </rPr>
      <t>__  Projected Test Year Ended 12/31/26</t>
    </r>
  </si>
  <si>
    <r>
      <t>__</t>
    </r>
    <r>
      <rPr>
        <u/>
        <sz val="11"/>
        <color rgb="FF0000FF"/>
        <rFont val="Calibri"/>
        <family val="2"/>
        <scheme val="minor"/>
      </rPr>
      <t>X</t>
    </r>
    <r>
      <rPr>
        <sz val="11"/>
        <color rgb="FF0000FF"/>
        <rFont val="Calibri"/>
        <family val="2"/>
        <scheme val="minor"/>
      </rPr>
      <t>__  Projected Test Year Ended 12/31/25</t>
    </r>
  </si>
  <si>
    <t>Witness:  Olivier</t>
  </si>
  <si>
    <t>Witness:  Chatelain</t>
  </si>
  <si>
    <t>Witness:  Chatelain, Olivier</t>
  </si>
  <si>
    <t>Witness:  Borsch</t>
  </si>
  <si>
    <t>Witness:  Borsch, Chatelain, Olivier</t>
  </si>
  <si>
    <t>Test Year</t>
  </si>
  <si>
    <t>Year 3</t>
  </si>
  <si>
    <t>Year 4</t>
  </si>
  <si>
    <t>Year 5</t>
  </si>
  <si>
    <t>E-6a and E-6b:</t>
  </si>
  <si>
    <t>12CP &amp; 25% AD</t>
  </si>
  <si>
    <t>REVENUE = PRESENT RATES</t>
  </si>
  <si>
    <t>REVENUE = COS</t>
  </si>
  <si>
    <t>CHECK: REVENUE = Present Rates vs. REVENUE = COS</t>
  </si>
  <si>
    <t>Link Data from COS files</t>
  </si>
  <si>
    <t>EV</t>
  </si>
  <si>
    <t>Production Capacity</t>
  </si>
  <si>
    <t>Distribution Secondary MDS)</t>
  </si>
  <si>
    <t>12CP &amp; 1/13th AD</t>
  </si>
  <si>
    <t>PRESENT RATES</t>
  </si>
  <si>
    <t>12CP &amp; 25% vs 12CP &amp; 1/13th</t>
  </si>
  <si>
    <t>E-10 (1-2) MWH:</t>
  </si>
  <si>
    <t>Enter Capacity Reserve % for retail/wholesale separation factors</t>
  </si>
  <si>
    <t>The following amounts are used at the bottom of "E-10 (1-2) MWH"</t>
  </si>
  <si>
    <t>Sys Req</t>
  </si>
  <si>
    <t>Sys Losses</t>
  </si>
  <si>
    <t>Co Use</t>
  </si>
  <si>
    <t>Sys Avail</t>
  </si>
  <si>
    <t>Unbilled</t>
  </si>
  <si>
    <t>Wh Sales</t>
  </si>
  <si>
    <t>Retail Sales</t>
  </si>
  <si>
    <t>mWh</t>
  </si>
  <si>
    <t>$</t>
  </si>
  <si>
    <t>Update the links from Ed's Sales Forecast file:</t>
  </si>
  <si>
    <t xml:space="preserve">System Requirements </t>
  </si>
  <si>
    <t xml:space="preserve">System
Losses </t>
  </si>
  <si>
    <t xml:space="preserve">Company        Use          </t>
  </si>
  <si>
    <t>Available
for
Sale</t>
  </si>
  <si>
    <t>Change in
Unbilled
Balance</t>
  </si>
  <si>
    <t>Wholesale
MWH
Requirements</t>
  </si>
  <si>
    <t>Billed
MWH
Requirements</t>
  </si>
  <si>
    <t>Check 
Sum</t>
  </si>
  <si>
    <t>whls losses</t>
  </si>
  <si>
    <t>Remaining 
Diff</t>
  </si>
  <si>
    <t>Check to
Retail</t>
  </si>
  <si>
    <t>Check to
Whls</t>
  </si>
  <si>
    <t>Retail billed &amp; unbilled</t>
  </si>
  <si>
    <t>YoY
Change</t>
  </si>
  <si>
    <t>%
Change</t>
  </si>
  <si>
    <t>Total Base Revenue</t>
  </si>
  <si>
    <t>avg
$/mWh</t>
  </si>
  <si>
    <t>Link transmission line losses from most current historical Losses file (losses with GSU):</t>
  </si>
  <si>
    <t xml:space="preserve"> &lt;- these amounts also are used in E-19a</t>
  </si>
  <si>
    <t>Link transmission line losses from most current historical Losses file (losses without GSU):</t>
  </si>
  <si>
    <t>E-10 (3) Jur MWH</t>
  </si>
  <si>
    <t>Section to the right is used to calculate the energy separation factor by stratification type (base, intermediate, peaking, solar)</t>
  </si>
  <si>
    <t>Download and save FOF report Financial_Forecast_Report_Florida.  In that file, create a section out to the right the stratifies the generation and purchases.</t>
  </si>
  <si>
    <t>Create a section at the bottom that aggregates the mWh's by strata.  Update the following links so that "E-10 (3) MWH" will reference the correct amounts.</t>
  </si>
  <si>
    <t>Gen &amp; Purch mWh per FOF:</t>
  </si>
  <si>
    <t>Base</t>
  </si>
  <si>
    <t>Intermediate</t>
  </si>
  <si>
    <t>Peaking</t>
  </si>
  <si>
    <t>Solar</t>
  </si>
  <si>
    <t>Total per FOF</t>
  </si>
  <si>
    <t>Less Economic Sales</t>
  </si>
  <si>
    <t>Add DSM</t>
  </si>
  <si>
    <t>System Load per FOF</t>
  </si>
  <si>
    <t>check to above</t>
  </si>
  <si>
    <t>Diff s/b immaterial</t>
  </si>
  <si>
    <t>E-10 (4-9) MW &amp; Alloc:</t>
  </si>
  <si>
    <t>Choose Production Allocation Methodology from Dropdown List:</t>
  </si>
  <si>
    <t>B</t>
  </si>
  <si>
    <t>A</t>
  </si>
  <si>
    <t>12 CP and 1/13 AD</t>
  </si>
  <si>
    <t>12/13 of 12 CP
12/13 * (2)</t>
  </si>
  <si>
    <t>1/13 of AVG DEMAND
1/13 * (4)</t>
  </si>
  <si>
    <t>12 CP and 25% AD</t>
  </si>
  <si>
    <t>75% of 12 CP
75% * (2)</t>
  </si>
  <si>
    <t>25% OF AVG DEMAND
25%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</si>
</sst>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_);\(0\)"/>
    <numFmt numFmtId="166" formatCode="0.000%"/>
    <numFmt numFmtId="167" formatCode="_(&quot;$&quot;* #,##0_);_(&quot;$&quot;* \(#,##0\);_(&quot;$&quot;* &quot;-&quot;??_);_(@_)"/>
    <numFmt numFmtId="168" formatCode="0.0000%"/>
    <numFmt numFmtId="169" formatCode="_(* #,##0.0000_);_(* \(#,##0.0000\);_(* &quot;-&quot;??_);_(@_)"/>
    <numFmt numFmtId="170" formatCode="0.\ \ "/>
    <numFmt numFmtId="171" formatCode="#,##0.000000000_);\(#,##0.000000000\)"/>
    <numFmt numFmtId="172" formatCode="#,##0.0_);\(#,##0.0\)"/>
    <numFmt numFmtId="173" formatCode="#,##0.000_);\(#,##0.000\)"/>
    <numFmt numFmtId="174" formatCode="#,##0.0000_);\(#,##0.0000\)"/>
    <numFmt numFmtId="175" formatCode="&quot;$&quot;#,##0"/>
    <numFmt numFmtId="176" formatCode="0.000000%"/>
  </numFmts>
  <fonts count="35" x14ac:knownFonts="1">
    <font>
      <sz val="12"/>
      <name val="Arial"/>
      <family val="2"/>
    </font>
    <font>
      <sz val="11"/>
      <color theme="1"/>
      <name val="Calibri"/>
      <family val="2"/>
      <scheme val="minor"/>
    </font>
    <font>
      <sz val="10"/>
      <name val="Courier"/>
      <family val="3"/>
    </font>
    <font>
      <sz val="10"/>
      <name val="Calibri"/>
      <family val="2"/>
      <scheme val="minor"/>
    </font>
    <font>
      <sz val="12"/>
      <name val="Arial"/>
      <family val="2"/>
    </font>
    <font>
      <sz val="10"/>
      <name val="Arial"/>
      <family val="2"/>
    </font>
    <font>
      <sz val="10"/>
      <color theme="0"/>
      <name val="Calibri"/>
      <family val="2"/>
      <scheme val="minor"/>
    </font>
    <font>
      <sz val="10"/>
      <color indexed="12"/>
      <name val="Calibri"/>
      <family val="2"/>
      <scheme val="minor"/>
    </font>
    <font>
      <b/>
      <sz val="10"/>
      <name val="Calibri"/>
      <family val="2"/>
      <scheme val="minor"/>
    </font>
    <font>
      <b/>
      <u/>
      <sz val="10"/>
      <name val="Calibri"/>
      <family val="2"/>
      <scheme val="minor"/>
    </font>
    <font>
      <sz val="10"/>
      <color theme="1"/>
      <name val="Calibri"/>
      <family val="2"/>
      <scheme val="minor"/>
    </font>
    <font>
      <sz val="8"/>
      <color indexed="81"/>
      <name val="Tahoma"/>
      <family val="2"/>
    </font>
    <font>
      <b/>
      <sz val="8"/>
      <color indexed="81"/>
      <name val="Tahoma"/>
      <family val="2"/>
    </font>
    <font>
      <sz val="10"/>
      <color indexed="8"/>
      <name val="Calibri"/>
      <family val="2"/>
      <scheme val="minor"/>
    </font>
    <font>
      <b/>
      <sz val="10"/>
      <color indexed="8"/>
      <name val="Calibri"/>
      <family val="2"/>
      <scheme val="minor"/>
    </font>
    <font>
      <b/>
      <sz val="10"/>
      <color indexed="12"/>
      <name val="Calibri"/>
      <family val="2"/>
      <scheme val="minor"/>
    </font>
    <font>
      <sz val="10"/>
      <color theme="3" tint="0.39997558519241921"/>
      <name val="Calibri"/>
      <family val="2"/>
      <scheme val="minor"/>
    </font>
    <font>
      <b/>
      <sz val="10"/>
      <color theme="3" tint="0.39997558519241921"/>
      <name val="Calibri"/>
      <family val="2"/>
      <scheme val="minor"/>
    </font>
    <font>
      <b/>
      <u/>
      <sz val="10"/>
      <color indexed="8"/>
      <name val="Calibri"/>
      <family val="2"/>
      <scheme val="minor"/>
    </font>
    <font>
      <sz val="10"/>
      <color indexed="10"/>
      <name val="Calibri"/>
      <family val="2"/>
      <scheme val="minor"/>
    </font>
    <font>
      <sz val="10"/>
      <color rgb="FF0000FF"/>
      <name val="Calibri"/>
      <family val="2"/>
      <scheme val="minor"/>
    </font>
    <font>
      <sz val="10"/>
      <color indexed="81"/>
      <name val="Tahoma"/>
      <family val="2"/>
    </font>
    <font>
      <sz val="11"/>
      <color rgb="FFFF0000"/>
      <name val="Calibri"/>
      <family val="2"/>
      <scheme val="minor"/>
    </font>
    <font>
      <sz val="12"/>
      <name val="Arial"/>
    </font>
    <font>
      <sz val="11"/>
      <name val="Calibri"/>
      <family val="2"/>
      <scheme val="minor"/>
    </font>
    <font>
      <b/>
      <sz val="11"/>
      <name val="Calibri"/>
      <family val="2"/>
      <scheme val="minor"/>
    </font>
    <font>
      <sz val="11"/>
      <color rgb="FF0000FF"/>
      <name val="Calibri"/>
      <family val="2"/>
      <scheme val="minor"/>
    </font>
    <font>
      <u/>
      <sz val="11"/>
      <color rgb="FF0000FF"/>
      <name val="Calibri"/>
      <family val="2"/>
      <scheme val="minor"/>
    </font>
    <font>
      <b/>
      <u/>
      <sz val="11"/>
      <name val="Calibri"/>
      <family val="2"/>
      <scheme val="minor"/>
    </font>
    <font>
      <sz val="9"/>
      <name val="Calibri"/>
      <family val="2"/>
      <scheme val="minor"/>
    </font>
    <font>
      <b/>
      <sz val="14"/>
      <name val="Calibri"/>
      <family val="2"/>
      <scheme val="minor"/>
    </font>
    <font>
      <sz val="8"/>
      <name val="Calibri"/>
      <family val="2"/>
      <scheme val="minor"/>
    </font>
    <font>
      <sz val="14"/>
      <name val="Arial"/>
      <family val="2"/>
    </font>
    <font>
      <sz val="10"/>
      <color rgb="FFFF0000"/>
      <name val="Calibri"/>
      <family val="2"/>
      <scheme val="minor"/>
    </font>
    <font>
      <sz val="10"/>
      <name val="MS Sans Serif"/>
      <family val="2"/>
    </font>
  </fonts>
  <fills count="7">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7">
    <xf numFmtId="0" fontId="0" fillId="2" borderId="0"/>
    <xf numFmtId="9" fontId="4" fillId="0" borderId="0" applyFont="0" applyFill="0" applyBorder="0" applyAlignment="0" applyProtection="0"/>
    <xf numFmtId="0" fontId="2" fillId="0" borderId="0"/>
    <xf numFmtId="0" fontId="5" fillId="0" borderId="0"/>
    <xf numFmtId="0" fontId="5" fillId="0" borderId="0"/>
    <xf numFmtId="0" fontId="2"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2" fillId="0" borderId="0"/>
    <xf numFmtId="0" fontId="4" fillId="2" borderId="0"/>
    <xf numFmtId="0" fontId="23" fillId="2" borderId="0"/>
    <xf numFmtId="0" fontId="5" fillId="0" borderId="0"/>
    <xf numFmtId="43" fontId="1" fillId="0" borderId="0" applyFont="0" applyFill="0" applyBorder="0" applyAlignment="0" applyProtection="0"/>
    <xf numFmtId="44" fontId="4" fillId="0" borderId="0" applyFont="0" applyFill="0" applyBorder="0" applyAlignment="0" applyProtection="0"/>
    <xf numFmtId="37" fontId="32" fillId="2" borderId="0"/>
    <xf numFmtId="0" fontId="34" fillId="0" borderId="0"/>
  </cellStyleXfs>
  <cellXfs count="358">
    <xf numFmtId="0" fontId="0" fillId="2" borderId="0" xfId="0"/>
    <xf numFmtId="0" fontId="3" fillId="0" borderId="0" xfId="2" applyFont="1" applyAlignment="1">
      <alignment horizontal="left"/>
    </xf>
    <xf numFmtId="0" fontId="3" fillId="0" borderId="0" xfId="2" applyFont="1" applyAlignment="1" applyProtection="1">
      <alignment horizontal="left"/>
      <protection locked="0"/>
    </xf>
    <xf numFmtId="0" fontId="3" fillId="0" borderId="0" xfId="2" applyFont="1"/>
    <xf numFmtId="0" fontId="3" fillId="0" borderId="0" xfId="0" applyFont="1" applyFill="1"/>
    <xf numFmtId="0" fontId="3" fillId="0" borderId="0" xfId="2" applyFont="1" applyProtection="1">
      <protection locked="0"/>
    </xf>
    <xf numFmtId="0" fontId="3" fillId="0" borderId="0" xfId="2" applyFont="1" applyAlignment="1">
      <alignment horizontal="right"/>
    </xf>
    <xf numFmtId="0" fontId="3" fillId="0" borderId="1" xfId="2" applyFont="1" applyBorder="1" applyAlignment="1">
      <alignment horizontal="left"/>
    </xf>
    <xf numFmtId="0" fontId="3" fillId="0" borderId="1" xfId="2" applyFont="1" applyBorder="1"/>
    <xf numFmtId="0" fontId="3" fillId="0" borderId="0" xfId="3" applyFont="1" applyAlignment="1">
      <alignment horizontal="left" vertical="center"/>
    </xf>
    <xf numFmtId="0" fontId="3" fillId="0" borderId="0" xfId="3" applyFont="1" applyAlignment="1">
      <alignment vertical="center"/>
    </xf>
    <xf numFmtId="0" fontId="3" fillId="0" borderId="0" xfId="4" applyFont="1" applyAlignment="1">
      <alignment horizontal="left"/>
    </xf>
    <xf numFmtId="0" fontId="3" fillId="0" borderId="0" xfId="4" applyFont="1"/>
    <xf numFmtId="0" fontId="3" fillId="0" borderId="0" xfId="4" quotePrefix="1" applyFont="1"/>
    <xf numFmtId="0" fontId="3" fillId="0" borderId="0" xfId="2" quotePrefix="1" applyFont="1"/>
    <xf numFmtId="0" fontId="3" fillId="0" borderId="1" xfId="0" applyFont="1" applyFill="1" applyBorder="1"/>
    <xf numFmtId="0" fontId="3" fillId="0" borderId="2" xfId="5" applyFont="1" applyBorder="1" applyAlignment="1">
      <alignment horizontal="center" vertical="center"/>
    </xf>
    <xf numFmtId="0" fontId="3" fillId="0" borderId="2" xfId="5" applyFont="1" applyBorder="1"/>
    <xf numFmtId="0" fontId="3" fillId="0" borderId="2" xfId="5" applyFont="1" applyBorder="1" applyProtection="1">
      <protection locked="0"/>
    </xf>
    <xf numFmtId="0" fontId="3" fillId="0" borderId="0" xfId="5" applyFont="1"/>
    <xf numFmtId="0" fontId="3" fillId="0" borderId="0" xfId="5" applyFont="1" applyAlignment="1">
      <alignment horizontal="center" vertical="center"/>
    </xf>
    <xf numFmtId="0" fontId="3" fillId="0" borderId="0" xfId="5" applyFont="1" applyProtection="1">
      <protection locked="0"/>
    </xf>
    <xf numFmtId="0" fontId="6" fillId="0" borderId="0" xfId="0" applyFont="1" applyFill="1"/>
    <xf numFmtId="0" fontId="3" fillId="0" borderId="3" xfId="4" applyFont="1" applyBorder="1" applyAlignment="1">
      <alignment horizontal="left"/>
    </xf>
    <xf numFmtId="0" fontId="3" fillId="0" borderId="3" xfId="2" applyFont="1" applyBorder="1"/>
    <xf numFmtId="0" fontId="3" fillId="0" borderId="3" xfId="4" applyFont="1" applyBorder="1"/>
    <xf numFmtId="0" fontId="7" fillId="0" borderId="3" xfId="4" applyFont="1" applyBorder="1" applyProtection="1">
      <protection locked="0"/>
    </xf>
    <xf numFmtId="0" fontId="8" fillId="3" borderId="0" xfId="2" applyFont="1" applyFill="1" applyAlignment="1">
      <alignment horizontal="centerContinuous"/>
    </xf>
    <xf numFmtId="0" fontId="8" fillId="4" borderId="0" xfId="2" applyFont="1" applyFill="1"/>
    <xf numFmtId="0" fontId="8" fillId="0" borderId="0" xfId="2" applyFont="1"/>
    <xf numFmtId="0" fontId="3" fillId="0" borderId="0" xfId="2" applyFont="1" applyAlignment="1">
      <alignment horizontal="left" indent="1"/>
    </xf>
    <xf numFmtId="0" fontId="8" fillId="0" borderId="0" xfId="2" applyFont="1" applyAlignment="1">
      <alignment horizontal="centerContinuous"/>
    </xf>
    <xf numFmtId="0" fontId="3" fillId="4" borderId="0" xfId="2" applyFont="1" applyFill="1"/>
    <xf numFmtId="0" fontId="8" fillId="3" borderId="2" xfId="2" quotePrefix="1" applyFont="1" applyFill="1" applyBorder="1" applyAlignment="1">
      <alignment horizontal="centerContinuous"/>
    </xf>
    <xf numFmtId="0" fontId="8" fillId="3" borderId="2" xfId="2" applyFont="1" applyFill="1" applyBorder="1" applyAlignment="1">
      <alignment horizontal="centerContinuous"/>
    </xf>
    <xf numFmtId="0" fontId="8" fillId="3" borderId="2" xfId="2" applyFont="1" applyFill="1" applyBorder="1" applyAlignment="1" applyProtection="1">
      <alignment horizontal="centerContinuous"/>
      <protection locked="0"/>
    </xf>
    <xf numFmtId="164" fontId="8" fillId="0" borderId="0" xfId="6" applyNumberFormat="1" applyFont="1" applyBorder="1" applyAlignment="1">
      <alignment horizontal="center" vertical="center"/>
    </xf>
    <xf numFmtId="164" fontId="8" fillId="0" borderId="0" xfId="6" applyNumberFormat="1" applyFont="1" applyBorder="1" applyAlignment="1">
      <alignment vertical="center"/>
    </xf>
    <xf numFmtId="165" fontId="8" fillId="0" borderId="0" xfId="6" quotePrefix="1" applyNumberFormat="1" applyFont="1" applyBorder="1" applyAlignment="1">
      <alignment horizontal="center" vertical="center"/>
    </xf>
    <xf numFmtId="164" fontId="3" fillId="0" borderId="0" xfId="6" applyNumberFormat="1" applyFont="1" applyBorder="1" applyAlignment="1">
      <alignment horizontal="center" vertical="center"/>
    </xf>
    <xf numFmtId="164" fontId="3" fillId="0" borderId="0" xfId="6" applyNumberFormat="1" applyFont="1" applyBorder="1" applyAlignment="1">
      <alignment vertical="center"/>
    </xf>
    <xf numFmtId="164" fontId="8" fillId="0" borderId="0" xfId="6" applyNumberFormat="1" applyFont="1" applyFill="1" applyBorder="1" applyAlignment="1">
      <alignment horizontal="center" vertical="center"/>
    </xf>
    <xf numFmtId="0" fontId="3" fillId="0" borderId="0" xfId="4" applyFont="1" applyAlignment="1">
      <alignment horizontal="center" vertical="center"/>
    </xf>
    <xf numFmtId="164" fontId="8" fillId="0" borderId="0" xfId="6" quotePrefix="1" applyNumberFormat="1" applyFont="1" applyBorder="1" applyAlignment="1">
      <alignment horizontal="center" vertical="center"/>
    </xf>
    <xf numFmtId="164" fontId="8" fillId="0" borderId="1" xfId="6" applyNumberFormat="1" applyFont="1" applyBorder="1" applyAlignment="1">
      <alignment horizontal="centerContinuous" vertical="center"/>
    </xf>
    <xf numFmtId="164" fontId="8" fillId="0" borderId="1" xfId="6" quotePrefix="1" applyNumberFormat="1" applyFont="1" applyBorder="1" applyAlignment="1">
      <alignment horizontal="centerContinuous" vertical="center"/>
    </xf>
    <xf numFmtId="0" fontId="3" fillId="5" borderId="4" xfId="2" applyFont="1" applyFill="1" applyBorder="1" applyAlignment="1">
      <alignment horizontal="center"/>
    </xf>
    <xf numFmtId="0" fontId="8" fillId="0" borderId="0" xfId="2" applyFont="1" applyAlignment="1">
      <alignment horizontal="center"/>
    </xf>
    <xf numFmtId="164" fontId="3" fillId="0" borderId="1" xfId="6" applyNumberFormat="1" applyFont="1" applyBorder="1" applyAlignment="1">
      <alignment horizontal="center" vertical="center"/>
    </xf>
    <xf numFmtId="164" fontId="3" fillId="0" borderId="1" xfId="6" applyNumberFormat="1" applyFont="1" applyBorder="1" applyAlignment="1">
      <alignment vertical="center"/>
    </xf>
    <xf numFmtId="164" fontId="8" fillId="0" borderId="1" xfId="6" applyNumberFormat="1" applyFont="1" applyBorder="1" applyAlignment="1">
      <alignment horizontal="center" vertical="center"/>
    </xf>
    <xf numFmtId="164" fontId="8" fillId="0" borderId="1" xfId="6" quotePrefix="1" applyNumberFormat="1" applyFont="1" applyFill="1" applyBorder="1" applyAlignment="1">
      <alignment horizontal="center" vertical="center"/>
    </xf>
    <xf numFmtId="0" fontId="3" fillId="5" borderId="5" xfId="2" applyFont="1" applyFill="1" applyBorder="1" applyAlignment="1">
      <alignment horizontal="center"/>
    </xf>
    <xf numFmtId="0" fontId="8" fillId="0" borderId="1" xfId="2" quotePrefix="1" applyFont="1" applyBorder="1" applyAlignment="1">
      <alignment horizontal="center"/>
    </xf>
    <xf numFmtId="0" fontId="8" fillId="0" borderId="0" xfId="2" quotePrefix="1" applyFont="1" applyAlignment="1">
      <alignment horizontal="center"/>
    </xf>
    <xf numFmtId="1" fontId="3" fillId="0" borderId="0" xfId="6" applyNumberFormat="1" applyFont="1" applyBorder="1" applyAlignment="1" applyProtection="1">
      <alignment horizontal="center" vertical="center"/>
      <protection locked="0"/>
    </xf>
    <xf numFmtId="164" fontId="3" fillId="0" borderId="0" xfId="6" applyNumberFormat="1" applyFont="1" applyFill="1" applyBorder="1" applyAlignment="1">
      <alignment vertical="center"/>
    </xf>
    <xf numFmtId="0" fontId="9" fillId="0" borderId="0" xfId="6" applyNumberFormat="1" applyFont="1" applyBorder="1" applyAlignment="1">
      <alignment vertical="center"/>
    </xf>
    <xf numFmtId="166" fontId="3" fillId="0" borderId="0" xfId="1" applyNumberFormat="1" applyFont="1"/>
    <xf numFmtId="167" fontId="3" fillId="0" borderId="0" xfId="7" applyNumberFormat="1" applyFont="1" applyBorder="1" applyAlignment="1">
      <alignment vertical="center"/>
    </xf>
    <xf numFmtId="0" fontId="3" fillId="5" borderId="5" xfId="2" applyFont="1" applyFill="1" applyBorder="1"/>
    <xf numFmtId="1" fontId="3" fillId="0" borderId="0" xfId="4" applyNumberFormat="1" applyFont="1" applyAlignment="1" applyProtection="1">
      <alignment horizontal="center" vertical="center"/>
      <protection locked="0"/>
    </xf>
    <xf numFmtId="164" fontId="3" fillId="0" borderId="0" xfId="6" applyNumberFormat="1" applyFont="1" applyFill="1" applyBorder="1" applyAlignment="1">
      <alignment horizontal="center" vertical="center"/>
    </xf>
    <xf numFmtId="164" fontId="3" fillId="0" borderId="0" xfId="6" applyNumberFormat="1" applyFont="1" applyBorder="1" applyAlignment="1">
      <alignment horizontal="left" vertical="center" indent="2"/>
    </xf>
    <xf numFmtId="5" fontId="3" fillId="0" borderId="0" xfId="6" applyNumberFormat="1" applyFont="1" applyBorder="1" applyAlignment="1">
      <alignment vertical="center"/>
    </xf>
    <xf numFmtId="164" fontId="3" fillId="5" borderId="5" xfId="6" applyNumberFormat="1" applyFont="1" applyFill="1" applyBorder="1" applyAlignment="1">
      <alignment vertical="center"/>
    </xf>
    <xf numFmtId="43" fontId="3" fillId="0" borderId="0" xfId="2" applyNumberFormat="1" applyFont="1"/>
    <xf numFmtId="164" fontId="3" fillId="0" borderId="0" xfId="6" applyNumberFormat="1" applyFont="1" applyBorder="1" applyAlignment="1">
      <alignment horizontal="left" vertical="center" indent="1"/>
    </xf>
    <xf numFmtId="164" fontId="3" fillId="0" borderId="2" xfId="6" applyNumberFormat="1" applyFont="1" applyBorder="1" applyAlignment="1">
      <alignment vertical="center"/>
    </xf>
    <xf numFmtId="164" fontId="10" fillId="0" borderId="2" xfId="6" applyNumberFormat="1" applyFont="1" applyBorder="1" applyAlignment="1">
      <alignment vertical="center"/>
    </xf>
    <xf numFmtId="164" fontId="7" fillId="5" borderId="6" xfId="6" applyNumberFormat="1" applyFont="1" applyFill="1" applyBorder="1" applyAlignment="1">
      <alignment vertical="center"/>
    </xf>
    <xf numFmtId="164" fontId="10" fillId="0" borderId="0" xfId="6" applyNumberFormat="1" applyFont="1" applyBorder="1" applyAlignment="1">
      <alignment vertical="center"/>
    </xf>
    <xf numFmtId="164" fontId="3" fillId="5" borderId="6" xfId="6" applyNumberFormat="1" applyFont="1" applyFill="1" applyBorder="1" applyAlignment="1">
      <alignment vertical="center"/>
    </xf>
    <xf numFmtId="164" fontId="3" fillId="0" borderId="0" xfId="2" applyNumberFormat="1" applyFont="1" applyProtection="1">
      <protection locked="0"/>
    </xf>
    <xf numFmtId="164" fontId="7" fillId="5" borderId="5" xfId="6" applyNumberFormat="1" applyFont="1" applyFill="1" applyBorder="1" applyAlignment="1">
      <alignment vertical="center"/>
    </xf>
    <xf numFmtId="164" fontId="7" fillId="0" borderId="0" xfId="6" applyNumberFormat="1" applyFont="1" applyBorder="1" applyAlignment="1">
      <alignment vertical="center"/>
    </xf>
    <xf numFmtId="164" fontId="7" fillId="0" borderId="0" xfId="6" applyNumberFormat="1" applyFont="1" applyFill="1" applyBorder="1" applyAlignment="1">
      <alignment vertical="center"/>
    </xf>
    <xf numFmtId="164" fontId="3" fillId="0" borderId="0" xfId="6" applyNumberFormat="1" applyFont="1" applyFill="1" applyBorder="1" applyAlignment="1">
      <alignment horizontal="right" vertical="center"/>
    </xf>
    <xf numFmtId="164" fontId="3" fillId="0" borderId="7" xfId="6" applyNumberFormat="1" applyFont="1" applyBorder="1" applyAlignment="1">
      <alignment horizontal="left" vertical="center" indent="1"/>
    </xf>
    <xf numFmtId="0" fontId="3" fillId="0" borderId="7" xfId="2" applyFont="1" applyBorder="1"/>
    <xf numFmtId="5" fontId="3" fillId="0" borderId="8" xfId="7" applyNumberFormat="1" applyFont="1" applyBorder="1" applyAlignment="1">
      <alignment vertical="center"/>
    </xf>
    <xf numFmtId="5" fontId="3" fillId="5" borderId="9" xfId="7" applyNumberFormat="1" applyFont="1" applyFill="1" applyBorder="1" applyAlignment="1">
      <alignment vertical="center"/>
    </xf>
    <xf numFmtId="5" fontId="3" fillId="0" borderId="0" xfId="7" applyNumberFormat="1" applyFont="1" applyBorder="1" applyAlignment="1">
      <alignment vertical="center"/>
    </xf>
    <xf numFmtId="0" fontId="9" fillId="0" borderId="0" xfId="6" applyNumberFormat="1" applyFont="1" applyBorder="1" applyAlignment="1"/>
    <xf numFmtId="168" fontId="3" fillId="0" borderId="0" xfId="8" applyNumberFormat="1" applyFont="1" applyBorder="1" applyAlignment="1">
      <alignment vertical="center"/>
    </xf>
    <xf numFmtId="169" fontId="3" fillId="0" borderId="0" xfId="6" applyNumberFormat="1" applyFont="1" applyBorder="1" applyAlignment="1">
      <alignment vertical="center"/>
    </xf>
    <xf numFmtId="10" fontId="3" fillId="0" borderId="0" xfId="8" applyNumberFormat="1" applyFont="1" applyBorder="1" applyAlignment="1">
      <alignment vertical="center"/>
    </xf>
    <xf numFmtId="164" fontId="3" fillId="0" borderId="0" xfId="6" applyNumberFormat="1" applyFont="1" applyAlignment="1">
      <alignment vertical="center"/>
    </xf>
    <xf numFmtId="10" fontId="3" fillId="5" borderId="5" xfId="8" applyNumberFormat="1" applyFont="1" applyFill="1" applyBorder="1" applyAlignment="1">
      <alignment vertical="center"/>
    </xf>
    <xf numFmtId="164" fontId="3" fillId="0" borderId="0" xfId="6" applyNumberFormat="1" applyFont="1" applyFill="1" applyBorder="1" applyAlignment="1">
      <alignment horizontal="left" vertical="center"/>
    </xf>
    <xf numFmtId="164" fontId="8" fillId="0" borderId="0" xfId="6" applyNumberFormat="1" applyFont="1" applyBorder="1" applyAlignment="1">
      <alignment horizontal="left" vertical="center" indent="1"/>
    </xf>
    <xf numFmtId="0" fontId="3" fillId="5" borderId="6" xfId="2" applyFont="1" applyFill="1" applyBorder="1" applyAlignment="1">
      <alignment horizontal="center"/>
    </xf>
    <xf numFmtId="164" fontId="3" fillId="0" borderId="0" xfId="6" quotePrefix="1" applyNumberFormat="1" applyFont="1" applyBorder="1" applyAlignment="1">
      <alignment horizontal="left" vertical="center" indent="3"/>
    </xf>
    <xf numFmtId="164" fontId="3" fillId="5" borderId="10" xfId="6" applyNumberFormat="1" applyFont="1" applyFill="1" applyBorder="1" applyAlignment="1">
      <alignment vertical="center"/>
    </xf>
    <xf numFmtId="164" fontId="3" fillId="0" borderId="0" xfId="6" applyNumberFormat="1" applyFont="1" applyBorder="1" applyAlignment="1">
      <alignment horizontal="left" vertical="center" indent="3"/>
    </xf>
    <xf numFmtId="164" fontId="3" fillId="5" borderId="11" xfId="6" applyNumberFormat="1" applyFont="1" applyFill="1" applyBorder="1" applyAlignment="1">
      <alignment vertical="center"/>
    </xf>
    <xf numFmtId="164" fontId="3" fillId="0" borderId="0" xfId="6" quotePrefix="1" applyNumberFormat="1" applyFont="1" applyBorder="1" applyAlignment="1">
      <alignment horizontal="left" vertical="center" indent="2"/>
    </xf>
    <xf numFmtId="43" fontId="3" fillId="0" borderId="0" xfId="6" applyFont="1"/>
    <xf numFmtId="164" fontId="7" fillId="5" borderId="5" xfId="6" applyNumberFormat="1" applyFont="1" applyFill="1" applyBorder="1" applyAlignment="1">
      <alignment horizontal="center" vertical="center"/>
    </xf>
    <xf numFmtId="166" fontId="3" fillId="0" borderId="0" xfId="1" applyNumberFormat="1" applyFont="1" applyFill="1" applyBorder="1" applyAlignment="1">
      <alignment vertical="center"/>
    </xf>
    <xf numFmtId="166" fontId="8" fillId="0" borderId="0" xfId="1" quotePrefix="1" applyNumberFormat="1" applyFont="1" applyFill="1" applyBorder="1" applyAlignment="1">
      <alignment horizontal="left" vertical="center" indent="1"/>
    </xf>
    <xf numFmtId="166" fontId="3" fillId="5" borderId="11" xfId="1" applyNumberFormat="1" applyFont="1" applyFill="1" applyBorder="1" applyAlignment="1">
      <alignment vertical="center"/>
    </xf>
    <xf numFmtId="166" fontId="3" fillId="5" borderId="5" xfId="1" applyNumberFormat="1" applyFont="1" applyFill="1" applyBorder="1" applyAlignment="1">
      <alignment vertical="center"/>
    </xf>
    <xf numFmtId="166" fontId="3" fillId="4" borderId="0" xfId="1" applyNumberFormat="1" applyFont="1" applyFill="1"/>
    <xf numFmtId="166" fontId="8" fillId="0" borderId="0" xfId="1" applyNumberFormat="1" applyFont="1" applyFill="1" applyBorder="1" applyAlignment="1">
      <alignment horizontal="left" vertical="center" indent="1"/>
    </xf>
    <xf numFmtId="166" fontId="8" fillId="0" borderId="7" xfId="1" quotePrefix="1" applyNumberFormat="1" applyFont="1" applyFill="1" applyBorder="1" applyAlignment="1">
      <alignment horizontal="left" vertical="center" indent="1"/>
    </xf>
    <xf numFmtId="166" fontId="3" fillId="0" borderId="7" xfId="1" applyNumberFormat="1" applyFont="1" applyBorder="1"/>
    <xf numFmtId="166" fontId="3" fillId="0" borderId="7" xfId="1" applyNumberFormat="1" applyFont="1" applyFill="1" applyBorder="1" applyAlignment="1">
      <alignment vertical="center"/>
    </xf>
    <xf numFmtId="166" fontId="3" fillId="5" borderId="12" xfId="1" applyNumberFormat="1" applyFont="1" applyFill="1" applyBorder="1" applyAlignment="1">
      <alignment vertical="center"/>
    </xf>
    <xf numFmtId="166" fontId="3" fillId="5" borderId="13" xfId="1" applyNumberFormat="1" applyFont="1" applyFill="1" applyBorder="1" applyAlignment="1">
      <alignment vertical="center"/>
    </xf>
    <xf numFmtId="43" fontId="3" fillId="0" borderId="0" xfId="6" applyFont="1" applyFill="1" applyBorder="1" applyAlignment="1">
      <alignment vertical="center"/>
    </xf>
    <xf numFmtId="164" fontId="8" fillId="0" borderId="0" xfId="6" applyNumberFormat="1" applyFont="1" applyFill="1" applyBorder="1" applyAlignment="1">
      <alignment vertical="center"/>
    </xf>
    <xf numFmtId="7" fontId="3" fillId="0" borderId="0" xfId="7" applyNumberFormat="1" applyFont="1" applyBorder="1" applyAlignment="1">
      <alignment vertical="center"/>
    </xf>
    <xf numFmtId="164" fontId="3" fillId="0" borderId="0" xfId="6" quotePrefix="1" applyNumberFormat="1" applyFont="1" applyFill="1" applyBorder="1" applyAlignment="1">
      <alignment vertical="center"/>
    </xf>
    <xf numFmtId="7" fontId="3" fillId="0" borderId="0" xfId="6" applyNumberFormat="1" applyFont="1" applyBorder="1" applyAlignment="1">
      <alignment horizontal="center" vertical="center"/>
    </xf>
    <xf numFmtId="7" fontId="3" fillId="0" borderId="0" xfId="7" applyNumberFormat="1" applyFont="1" applyFill="1" applyBorder="1" applyAlignment="1">
      <alignment horizontal="right" vertical="center" indent="1"/>
    </xf>
    <xf numFmtId="7" fontId="3" fillId="0" borderId="0" xfId="7" applyNumberFormat="1" applyFont="1" applyBorder="1" applyAlignment="1">
      <alignment horizontal="right" vertical="center" indent="1"/>
    </xf>
    <xf numFmtId="7" fontId="3" fillId="0" borderId="3" xfId="7" applyNumberFormat="1" applyFont="1" applyBorder="1" applyAlignment="1">
      <alignment vertical="center"/>
    </xf>
    <xf numFmtId="7" fontId="3" fillId="0" borderId="0" xfId="6" applyNumberFormat="1" applyFont="1" applyBorder="1" applyAlignment="1">
      <alignment vertical="center"/>
    </xf>
    <xf numFmtId="7" fontId="3" fillId="0" borderId="0" xfId="6" applyNumberFormat="1" applyFont="1" applyAlignment="1">
      <alignment vertical="center"/>
    </xf>
    <xf numFmtId="164" fontId="3" fillId="0" borderId="0" xfId="6" applyNumberFormat="1" applyFont="1" applyFill="1" applyBorder="1" applyAlignment="1">
      <alignment horizontal="left" vertical="center" indent="2"/>
    </xf>
    <xf numFmtId="0" fontId="3" fillId="0" borderId="3" xfId="4" applyFont="1" applyBorder="1" applyAlignment="1">
      <alignment horizontal="center"/>
    </xf>
    <xf numFmtId="0" fontId="7" fillId="0" borderId="0" xfId="4" applyFont="1" applyProtection="1">
      <protection locked="0"/>
    </xf>
    <xf numFmtId="164" fontId="3" fillId="0" borderId="0" xfId="6" applyNumberFormat="1" applyFont="1" applyAlignment="1">
      <alignment horizontal="center" vertical="center"/>
    </xf>
    <xf numFmtId="43" fontId="3" fillId="0" borderId="0" xfId="6" applyFont="1" applyBorder="1" applyAlignment="1">
      <alignment horizontal="center" vertical="center"/>
    </xf>
    <xf numFmtId="164" fontId="3" fillId="5" borderId="14" xfId="6" applyNumberFormat="1" applyFont="1" applyFill="1" applyBorder="1" applyAlignment="1">
      <alignment vertical="center"/>
    </xf>
    <xf numFmtId="164" fontId="3" fillId="5" borderId="2" xfId="6" applyNumberFormat="1" applyFont="1" applyFill="1" applyBorder="1" applyAlignment="1">
      <alignment vertical="center"/>
    </xf>
    <xf numFmtId="164" fontId="3" fillId="5" borderId="15" xfId="6" applyNumberFormat="1" applyFont="1" applyFill="1" applyBorder="1" applyAlignment="1">
      <alignment vertical="center"/>
    </xf>
    <xf numFmtId="164" fontId="3" fillId="5" borderId="0" xfId="6" applyNumberFormat="1" applyFont="1" applyFill="1" applyBorder="1" applyAlignment="1">
      <alignment vertical="center"/>
    </xf>
    <xf numFmtId="164" fontId="3" fillId="5" borderId="3" xfId="6" applyNumberFormat="1" applyFont="1" applyFill="1" applyBorder="1" applyAlignment="1">
      <alignment vertical="center"/>
    </xf>
    <xf numFmtId="164" fontId="3" fillId="5" borderId="16" xfId="6" applyNumberFormat="1" applyFont="1" applyFill="1" applyBorder="1" applyAlignment="1">
      <alignment vertical="center"/>
    </xf>
    <xf numFmtId="164" fontId="3" fillId="5" borderId="17" xfId="6" applyNumberFormat="1" applyFont="1" applyFill="1" applyBorder="1" applyAlignment="1">
      <alignment vertical="center"/>
    </xf>
    <xf numFmtId="164" fontId="3" fillId="5" borderId="12" xfId="6" applyNumberFormat="1" applyFont="1" applyFill="1" applyBorder="1" applyAlignment="1">
      <alignment vertical="center"/>
    </xf>
    <xf numFmtId="164" fontId="3" fillId="5" borderId="1" xfId="6" applyNumberFormat="1" applyFont="1" applyFill="1" applyBorder="1" applyAlignment="1">
      <alignment vertical="center"/>
    </xf>
    <xf numFmtId="164" fontId="3" fillId="5" borderId="18" xfId="6" applyNumberFormat="1" applyFont="1" applyFill="1" applyBorder="1" applyAlignment="1">
      <alignment vertical="center"/>
    </xf>
    <xf numFmtId="0" fontId="3" fillId="0" borderId="0" xfId="2" applyFont="1" applyAlignment="1">
      <alignment horizontal="center"/>
    </xf>
    <xf numFmtId="0" fontId="3" fillId="5" borderId="0" xfId="9" applyFont="1" applyFill="1"/>
    <xf numFmtId="166" fontId="3" fillId="5" borderId="0" xfId="9" applyNumberFormat="1" applyFont="1" applyFill="1"/>
    <xf numFmtId="0" fontId="3" fillId="5" borderId="0" xfId="2" applyFont="1" applyFill="1"/>
    <xf numFmtId="0" fontId="3" fillId="5" borderId="0" xfId="9" quotePrefix="1" applyFont="1" applyFill="1"/>
    <xf numFmtId="164" fontId="5" fillId="0" borderId="0" xfId="6" applyNumberFormat="1" applyFont="1" applyBorder="1" applyAlignment="1">
      <alignment horizontal="center" vertical="center"/>
    </xf>
    <xf numFmtId="166" fontId="3" fillId="0" borderId="0" xfId="2" applyNumberFormat="1" applyFont="1"/>
    <xf numFmtId="164" fontId="5" fillId="0" borderId="0" xfId="6" applyNumberFormat="1" applyFont="1" applyFill="1" applyBorder="1" applyAlignment="1">
      <alignment vertical="center"/>
    </xf>
    <xf numFmtId="0" fontId="5" fillId="0" borderId="0" xfId="4" applyAlignment="1">
      <alignment vertical="center"/>
    </xf>
    <xf numFmtId="0" fontId="3" fillId="0" borderId="0" xfId="2" applyFont="1" applyAlignment="1">
      <alignment horizontal="right" indent="1"/>
    </xf>
    <xf numFmtId="0" fontId="3" fillId="0" borderId="1" xfId="2" applyFont="1" applyBorder="1" applyAlignment="1">
      <alignment horizontal="center"/>
    </xf>
    <xf numFmtId="0" fontId="3" fillId="0" borderId="1" xfId="2" quotePrefix="1" applyFont="1" applyBorder="1"/>
    <xf numFmtId="0" fontId="3" fillId="0" borderId="1" xfId="2" applyFont="1" applyBorder="1" applyAlignment="1" applyProtection="1">
      <alignment horizontal="left"/>
      <protection locked="0"/>
    </xf>
    <xf numFmtId="0" fontId="3" fillId="0" borderId="1" xfId="2" applyFont="1" applyBorder="1" applyProtection="1">
      <protection locked="0"/>
    </xf>
    <xf numFmtId="0" fontId="13" fillId="0" borderId="0" xfId="10" applyFont="1" applyFill="1" applyAlignment="1">
      <alignment horizontal="center" vertical="center"/>
    </xf>
    <xf numFmtId="0" fontId="13" fillId="0" borderId="0" xfId="10" applyFont="1" applyFill="1" applyAlignment="1">
      <alignment vertical="center"/>
    </xf>
    <xf numFmtId="0" fontId="3" fillId="0" borderId="0" xfId="10" applyFont="1" applyFill="1" applyAlignment="1">
      <alignment vertical="center"/>
    </xf>
    <xf numFmtId="0" fontId="8" fillId="0" borderId="0" xfId="10" applyFont="1" applyFill="1" applyAlignment="1">
      <alignment horizontal="center"/>
    </xf>
    <xf numFmtId="43" fontId="8" fillId="0" borderId="0" xfId="6" applyFont="1" applyFill="1" applyAlignment="1">
      <alignment horizontal="center"/>
    </xf>
    <xf numFmtId="0" fontId="14" fillId="0" borderId="0" xfId="10" applyFont="1" applyFill="1" applyAlignment="1">
      <alignment horizontal="center"/>
    </xf>
    <xf numFmtId="14" fontId="13" fillId="0" borderId="0" xfId="10" applyNumberFormat="1" applyFont="1" applyFill="1" applyAlignment="1">
      <alignment vertical="center"/>
    </xf>
    <xf numFmtId="37" fontId="7" fillId="0" borderId="0" xfId="10" applyNumberFormat="1" applyFont="1" applyFill="1" applyAlignment="1">
      <alignment vertical="center"/>
    </xf>
    <xf numFmtId="37" fontId="13" fillId="0" borderId="0" xfId="10" applyNumberFormat="1" applyFont="1" applyFill="1" applyAlignment="1">
      <alignment vertical="center"/>
    </xf>
    <xf numFmtId="0" fontId="13" fillId="4" borderId="0" xfId="10" applyFont="1" applyFill="1" applyAlignment="1">
      <alignment vertical="center"/>
    </xf>
    <xf numFmtId="0" fontId="3" fillId="0" borderId="0" xfId="10" applyFont="1" applyFill="1" applyAlignment="1">
      <alignment horizontal="center" vertical="center"/>
    </xf>
    <xf numFmtId="0" fontId="8" fillId="0" borderId="0" xfId="10" applyFont="1" applyFill="1" applyAlignment="1">
      <alignment horizontal="center" vertical="center"/>
    </xf>
    <xf numFmtId="0" fontId="14" fillId="0" borderId="0" xfId="10" applyFont="1" applyFill="1" applyAlignment="1">
      <alignment horizontal="center" vertical="center"/>
    </xf>
    <xf numFmtId="43" fontId="14" fillId="0" borderId="0" xfId="6" applyFont="1" applyFill="1" applyAlignment="1">
      <alignment horizontal="center" vertical="center"/>
    </xf>
    <xf numFmtId="0" fontId="13" fillId="0" borderId="0" xfId="10" applyFont="1" applyFill="1" applyAlignment="1">
      <alignment horizontal="centerContinuous" vertical="center"/>
    </xf>
    <xf numFmtId="0" fontId="3" fillId="0" borderId="0" xfId="10" applyFont="1" applyFill="1" applyAlignment="1">
      <alignment horizontal="centerContinuous" vertical="center"/>
    </xf>
    <xf numFmtId="0" fontId="14" fillId="0" borderId="0" xfId="10" applyFont="1" applyFill="1" applyAlignment="1">
      <alignment horizontal="centerContinuous" vertical="center"/>
    </xf>
    <xf numFmtId="0" fontId="14" fillId="4" borderId="0" xfId="10" applyFont="1" applyFill="1" applyAlignment="1">
      <alignment horizontal="centerContinuous" vertical="center"/>
    </xf>
    <xf numFmtId="0" fontId="14" fillId="0" borderId="0" xfId="10" applyFont="1" applyFill="1" applyAlignment="1">
      <alignment vertical="center"/>
    </xf>
    <xf numFmtId="0" fontId="15" fillId="0" borderId="0" xfId="10" applyFont="1" applyFill="1" applyAlignment="1">
      <alignment horizontal="centerContinuous" vertical="center"/>
    </xf>
    <xf numFmtId="0" fontId="15" fillId="4" borderId="0" xfId="10" applyFont="1" applyFill="1" applyAlignment="1">
      <alignment horizontal="centerContinuous" vertical="center"/>
    </xf>
    <xf numFmtId="0" fontId="14" fillId="4" borderId="0" xfId="10" applyFont="1" applyFill="1" applyAlignment="1">
      <alignment vertical="center"/>
    </xf>
    <xf numFmtId="0" fontId="3" fillId="0" borderId="1" xfId="10" applyFont="1" applyFill="1" applyBorder="1" applyAlignment="1">
      <alignment horizontal="center" vertical="center"/>
    </xf>
    <xf numFmtId="0" fontId="3" fillId="0" borderId="1" xfId="10" applyFont="1" applyFill="1" applyBorder="1" applyAlignment="1">
      <alignment vertical="center"/>
    </xf>
    <xf numFmtId="0" fontId="14" fillId="0" borderId="1" xfId="10" applyFont="1" applyFill="1" applyBorder="1" applyAlignment="1">
      <alignment vertical="center"/>
    </xf>
    <xf numFmtId="0" fontId="13" fillId="0" borderId="1" xfId="10" applyFont="1" applyFill="1" applyBorder="1" applyAlignment="1">
      <alignment vertical="center"/>
    </xf>
    <xf numFmtId="0" fontId="14" fillId="0" borderId="1" xfId="10" applyFont="1" applyFill="1" applyBorder="1" applyAlignment="1">
      <alignment horizontal="center" vertical="center"/>
    </xf>
    <xf numFmtId="43" fontId="14" fillId="0" borderId="1" xfId="6" applyFont="1" applyFill="1" applyBorder="1" applyAlignment="1">
      <alignment horizontal="center" vertical="center"/>
    </xf>
    <xf numFmtId="0" fontId="8" fillId="0" borderId="1" xfId="10" applyFont="1" applyFill="1" applyBorder="1" applyAlignment="1">
      <alignment horizontal="center" vertical="center"/>
    </xf>
    <xf numFmtId="0" fontId="3" fillId="0" borderId="0" xfId="10" applyFont="1" applyFill="1" applyAlignment="1">
      <alignment horizontal="right" vertical="center" indent="1"/>
    </xf>
    <xf numFmtId="41" fontId="13" fillId="0" borderId="0" xfId="10" applyNumberFormat="1" applyFont="1" applyFill="1" applyAlignment="1">
      <alignment vertical="center"/>
    </xf>
    <xf numFmtId="43" fontId="3" fillId="0" borderId="0" xfId="6" applyFont="1" applyFill="1" applyAlignment="1">
      <alignment vertical="center"/>
    </xf>
    <xf numFmtId="43" fontId="16" fillId="0" borderId="0" xfId="6" applyFont="1" applyFill="1" applyAlignment="1">
      <alignment vertical="center"/>
    </xf>
    <xf numFmtId="170" fontId="13" fillId="0" borderId="0" xfId="0" applyNumberFormat="1" applyFont="1" applyFill="1" applyAlignment="1">
      <alignment horizontal="right"/>
    </xf>
    <xf numFmtId="41" fontId="16" fillId="0" borderId="0" xfId="10" applyNumberFormat="1" applyFont="1" applyFill="1" applyAlignment="1">
      <alignment vertical="center"/>
    </xf>
    <xf numFmtId="0" fontId="9" fillId="0" borderId="0" xfId="10" applyFont="1" applyFill="1" applyAlignment="1">
      <alignment vertical="center"/>
    </xf>
    <xf numFmtId="41" fontId="17" fillId="0" borderId="0" xfId="10" applyNumberFormat="1" applyFont="1" applyFill="1" applyAlignment="1">
      <alignment vertical="center"/>
    </xf>
    <xf numFmtId="0" fontId="18" fillId="0" borderId="0" xfId="10" applyFont="1" applyFill="1" applyAlignment="1">
      <alignment vertical="center"/>
    </xf>
    <xf numFmtId="43" fontId="13" fillId="0" borderId="0" xfId="6" applyFont="1" applyFill="1" applyAlignment="1">
      <alignment vertical="center"/>
    </xf>
    <xf numFmtId="0" fontId="13" fillId="0" borderId="0" xfId="10" applyFont="1" applyFill="1" applyAlignment="1">
      <alignment horizontal="right" vertical="center"/>
    </xf>
    <xf numFmtId="38" fontId="13" fillId="0" borderId="0" xfId="10" applyNumberFormat="1" applyFont="1" applyFill="1" applyAlignment="1">
      <alignment vertical="center"/>
    </xf>
    <xf numFmtId="41" fontId="13" fillId="0" borderId="3" xfId="10" applyNumberFormat="1" applyFont="1" applyFill="1" applyBorder="1" applyAlignment="1">
      <alignment vertical="center"/>
    </xf>
    <xf numFmtId="0" fontId="16" fillId="0" borderId="0" xfId="10" applyFont="1" applyFill="1" applyAlignment="1">
      <alignment vertical="center"/>
    </xf>
    <xf numFmtId="41" fontId="13" fillId="0" borderId="1" xfId="10" applyNumberFormat="1" applyFont="1" applyFill="1" applyBorder="1" applyAlignment="1">
      <alignment vertical="center"/>
    </xf>
    <xf numFmtId="41" fontId="13" fillId="0" borderId="7" xfId="10" applyNumberFormat="1" applyFont="1" applyFill="1" applyBorder="1" applyAlignment="1">
      <alignment vertical="center"/>
    </xf>
    <xf numFmtId="41" fontId="3" fillId="0" borderId="0" xfId="10" applyNumberFormat="1" applyFont="1" applyFill="1" applyAlignment="1">
      <alignment vertical="center"/>
    </xf>
    <xf numFmtId="41" fontId="7" fillId="0" borderId="0" xfId="10" applyNumberFormat="1" applyFont="1" applyFill="1" applyAlignment="1">
      <alignment vertical="center"/>
    </xf>
    <xf numFmtId="0" fontId="7" fillId="0" borderId="0" xfId="10" applyFont="1" applyFill="1" applyAlignment="1">
      <alignment vertical="center"/>
    </xf>
    <xf numFmtId="164" fontId="13" fillId="0" borderId="0" xfId="6" applyNumberFormat="1" applyFont="1" applyFill="1" applyAlignment="1">
      <alignment vertical="center"/>
    </xf>
    <xf numFmtId="0" fontId="19" fillId="0" borderId="0" xfId="10" applyFont="1" applyFill="1" applyAlignment="1">
      <alignment vertical="center"/>
    </xf>
    <xf numFmtId="41" fontId="19" fillId="0" borderId="0" xfId="10" applyNumberFormat="1" applyFont="1" applyFill="1" applyAlignment="1">
      <alignment vertical="center"/>
    </xf>
    <xf numFmtId="41" fontId="13" fillId="0" borderId="8" xfId="10" applyNumberFormat="1" applyFont="1" applyFill="1" applyBorder="1" applyAlignment="1">
      <alignment vertical="center"/>
    </xf>
    <xf numFmtId="41" fontId="3" fillId="0" borderId="3" xfId="4" applyNumberFormat="1" applyFont="1" applyBorder="1" applyAlignment="1">
      <alignment horizontal="left"/>
    </xf>
    <xf numFmtId="0" fontId="3" fillId="5" borderId="0" xfId="10" applyFont="1" applyFill="1" applyAlignment="1">
      <alignment vertical="center"/>
    </xf>
    <xf numFmtId="0" fontId="3" fillId="5" borderId="0" xfId="10" applyFont="1" applyFill="1" applyAlignment="1">
      <alignment horizontal="right" vertical="center"/>
    </xf>
    <xf numFmtId="41" fontId="3" fillId="5" borderId="0" xfId="10" applyNumberFormat="1" applyFont="1" applyFill="1" applyAlignment="1">
      <alignment vertical="center"/>
    </xf>
    <xf numFmtId="10" fontId="13" fillId="0" borderId="0" xfId="1" applyNumberFormat="1" applyFont="1" applyFill="1" applyAlignment="1">
      <alignment vertical="center"/>
    </xf>
    <xf numFmtId="0" fontId="18" fillId="0" borderId="0" xfId="10" applyFont="1" applyFill="1" applyAlignment="1">
      <alignment horizontal="left" vertical="center"/>
    </xf>
    <xf numFmtId="164" fontId="13" fillId="0" borderId="0" xfId="10" applyNumberFormat="1" applyFont="1" applyFill="1" applyAlignment="1">
      <alignment vertical="center"/>
    </xf>
    <xf numFmtId="0" fontId="3" fillId="0" borderId="0" xfId="10" applyFont="1" applyFill="1" applyAlignment="1">
      <alignment horizontal="right" vertical="center"/>
    </xf>
    <xf numFmtId="43" fontId="3" fillId="0" borderId="0" xfId="6" applyFont="1" applyFill="1" applyBorder="1" applyAlignment="1">
      <alignment horizontal="right" vertical="center"/>
    </xf>
    <xf numFmtId="171" fontId="13" fillId="0" borderId="0" xfId="10" applyNumberFormat="1" applyFont="1" applyFill="1" applyAlignment="1">
      <alignment vertical="center"/>
    </xf>
    <xf numFmtId="164" fontId="7" fillId="0" borderId="0" xfId="6" applyNumberFormat="1" applyFont="1" applyFill="1" applyAlignment="1">
      <alignment vertical="center"/>
    </xf>
    <xf numFmtId="164" fontId="3" fillId="0" borderId="0" xfId="6" applyNumberFormat="1" applyFont="1" applyFill="1" applyAlignment="1">
      <alignment vertical="center"/>
    </xf>
    <xf numFmtId="37" fontId="3" fillId="0" borderId="0" xfId="10" applyNumberFormat="1" applyFont="1" applyFill="1" applyAlignment="1">
      <alignment vertical="center"/>
    </xf>
    <xf numFmtId="171" fontId="13" fillId="0" borderId="0" xfId="10" applyNumberFormat="1" applyFont="1" applyFill="1" applyAlignment="1">
      <alignment horizontal="center" vertical="center"/>
    </xf>
    <xf numFmtId="164" fontId="3" fillId="0" borderId="0" xfId="10" applyNumberFormat="1" applyFont="1" applyFill="1" applyAlignment="1">
      <alignment vertical="center"/>
    </xf>
    <xf numFmtId="164" fontId="3" fillId="0" borderId="0" xfId="6" applyNumberFormat="1" applyFont="1" applyFill="1" applyAlignment="1">
      <alignment horizontal="center" vertical="center"/>
    </xf>
    <xf numFmtId="37" fontId="3" fillId="0" borderId="0" xfId="10" applyNumberFormat="1" applyFont="1" applyFill="1" applyAlignment="1">
      <alignment horizontal="center" vertical="center"/>
    </xf>
    <xf numFmtId="0" fontId="20" fillId="0" borderId="0" xfId="10" applyFont="1" applyFill="1" applyAlignment="1">
      <alignment vertical="center"/>
    </xf>
    <xf numFmtId="0" fontId="3" fillId="0" borderId="0" xfId="3" applyFont="1" applyAlignment="1">
      <alignment horizontal="right" vertical="center"/>
    </xf>
    <xf numFmtId="0" fontId="3" fillId="0" borderId="1" xfId="4" applyFont="1" applyBorder="1" applyAlignment="1">
      <alignment horizontal="left"/>
    </xf>
    <xf numFmtId="0" fontId="3" fillId="0" borderId="1" xfId="4" quotePrefix="1" applyFont="1" applyBorder="1"/>
    <xf numFmtId="0" fontId="3" fillId="0" borderId="1" xfId="3" applyFont="1" applyBorder="1" applyAlignment="1">
      <alignment horizontal="right" vertical="center"/>
    </xf>
    <xf numFmtId="165" fontId="8" fillId="0" borderId="0" xfId="2" applyNumberFormat="1" applyFont="1" applyAlignment="1" applyProtection="1">
      <alignment horizontal="center"/>
      <protection locked="0"/>
    </xf>
    <xf numFmtId="0" fontId="3" fillId="0" borderId="0" xfId="4" applyFont="1" applyAlignment="1">
      <alignment vertical="center"/>
    </xf>
    <xf numFmtId="0" fontId="14" fillId="0" borderId="0" xfId="4" applyFont="1" applyAlignment="1">
      <alignment horizontal="center" vertical="center"/>
    </xf>
    <xf numFmtId="0" fontId="8" fillId="0" borderId="0" xfId="4" applyFont="1" applyAlignment="1">
      <alignment horizontal="center" vertical="center"/>
    </xf>
    <xf numFmtId="0" fontId="3" fillId="4" borderId="0" xfId="4" applyFont="1" applyFill="1" applyAlignment="1">
      <alignment vertical="center"/>
    </xf>
    <xf numFmtId="0" fontId="14" fillId="0" borderId="0" xfId="4" applyFont="1" applyAlignment="1">
      <alignment vertical="center"/>
    </xf>
    <xf numFmtId="0" fontId="13" fillId="5" borderId="0" xfId="0" applyFont="1" applyFill="1" applyAlignment="1">
      <alignment horizontal="left"/>
    </xf>
    <xf numFmtId="0" fontId="13" fillId="5" borderId="0" xfId="0" applyFont="1" applyFill="1" applyAlignment="1">
      <alignment horizontal="centerContinuous"/>
    </xf>
    <xf numFmtId="0" fontId="3" fillId="5" borderId="0" xfId="0" applyFont="1" applyFill="1" applyAlignment="1">
      <alignment horizontal="centerContinuous"/>
    </xf>
    <xf numFmtId="0" fontId="3" fillId="0" borderId="1" xfId="4" applyFont="1" applyBorder="1" applyAlignment="1">
      <alignment horizontal="center" vertical="center"/>
    </xf>
    <xf numFmtId="0" fontId="3" fillId="0" borderId="1" xfId="4" applyFont="1" applyBorder="1" applyAlignment="1">
      <alignment vertical="center"/>
    </xf>
    <xf numFmtId="0" fontId="14" fillId="0" borderId="1" xfId="4" applyFont="1" applyBorder="1" applyAlignment="1">
      <alignment vertical="center"/>
    </xf>
    <xf numFmtId="0" fontId="14" fillId="0" borderId="1" xfId="4" applyFont="1" applyBorder="1" applyAlignment="1">
      <alignment horizontal="center" vertical="center"/>
    </xf>
    <xf numFmtId="0" fontId="13" fillId="5" borderId="0" xfId="0" applyFont="1" applyFill="1" applyAlignment="1">
      <alignment horizontal="center"/>
    </xf>
    <xf numFmtId="0" fontId="3" fillId="5" borderId="0" xfId="0" applyFont="1" applyFill="1" applyAlignment="1">
      <alignment horizontal="center"/>
    </xf>
    <xf numFmtId="0" fontId="10" fillId="0" borderId="0" xfId="10" applyFont="1" applyFill="1" applyAlignment="1">
      <alignment horizontal="center" vertical="center"/>
    </xf>
    <xf numFmtId="0" fontId="10" fillId="0" borderId="0" xfId="4" applyFont="1" applyAlignment="1">
      <alignment horizontal="center" vertical="center"/>
    </xf>
    <xf numFmtId="0" fontId="10" fillId="0" borderId="0" xfId="10" applyFont="1" applyFill="1" applyAlignment="1">
      <alignment vertical="center"/>
    </xf>
    <xf numFmtId="0" fontId="10" fillId="0" borderId="0" xfId="4" applyFont="1" applyAlignment="1">
      <alignment vertical="center"/>
    </xf>
    <xf numFmtId="37" fontId="10" fillId="0" borderId="0" xfId="4" applyNumberFormat="1" applyFont="1" applyAlignment="1">
      <alignment vertical="center"/>
    </xf>
    <xf numFmtId="0" fontId="10" fillId="4" borderId="0" xfId="4" applyFont="1" applyFill="1" applyAlignment="1">
      <alignment vertical="center"/>
    </xf>
    <xf numFmtId="170" fontId="10" fillId="0" borderId="0" xfId="0" applyNumberFormat="1" applyFont="1" applyFill="1" applyAlignment="1">
      <alignment horizontal="right"/>
    </xf>
    <xf numFmtId="172" fontId="10" fillId="0" borderId="0" xfId="4" applyNumberFormat="1" applyFont="1" applyAlignment="1">
      <alignment vertical="center"/>
    </xf>
    <xf numFmtId="39" fontId="10" fillId="0" borderId="0" xfId="4" applyNumberFormat="1" applyFont="1" applyAlignment="1">
      <alignment vertical="center"/>
    </xf>
    <xf numFmtId="173" fontId="10" fillId="5" borderId="0" xfId="0" applyNumberFormat="1" applyFont="1" applyFill="1" applyAlignment="1">
      <alignment horizontal="center"/>
    </xf>
    <xf numFmtId="0" fontId="10" fillId="5" borderId="0" xfId="0" applyFont="1" applyFill="1" applyAlignment="1">
      <alignment horizontal="center"/>
    </xf>
    <xf numFmtId="37" fontId="10" fillId="0" borderId="1" xfId="4" applyNumberFormat="1" applyFont="1" applyBorder="1" applyAlignment="1">
      <alignment vertical="center"/>
    </xf>
    <xf numFmtId="37" fontId="10" fillId="0" borderId="3" xfId="4" applyNumberFormat="1" applyFont="1" applyBorder="1" applyAlignment="1">
      <alignment vertical="center"/>
    </xf>
    <xf numFmtId="173" fontId="10" fillId="0" borderId="0" xfId="0" applyNumberFormat="1" applyFont="1" applyFill="1" applyAlignment="1">
      <alignment horizontal="center"/>
    </xf>
    <xf numFmtId="0" fontId="10" fillId="0" borderId="0" xfId="0" applyFont="1" applyFill="1" applyAlignment="1">
      <alignment horizontal="center"/>
    </xf>
    <xf numFmtId="0" fontId="10" fillId="0" borderId="0" xfId="4" applyFont="1" applyAlignment="1">
      <alignment horizontal="right" vertical="center"/>
    </xf>
    <xf numFmtId="166" fontId="10" fillId="0" borderId="0" xfId="0" applyNumberFormat="1" applyFont="1" applyFill="1" applyAlignment="1">
      <alignment horizontal="center"/>
    </xf>
    <xf numFmtId="37" fontId="10" fillId="0" borderId="0" xfId="4" quotePrefix="1" applyNumberFormat="1" applyFont="1" applyAlignment="1">
      <alignment horizontal="right" vertical="center"/>
    </xf>
    <xf numFmtId="37" fontId="3" fillId="0" borderId="0" xfId="4" applyNumberFormat="1" applyFont="1" applyAlignment="1">
      <alignment vertical="center"/>
    </xf>
    <xf numFmtId="174" fontId="3" fillId="0" borderId="0" xfId="4" applyNumberFormat="1" applyFont="1" applyAlignment="1">
      <alignment vertical="center"/>
    </xf>
    <xf numFmtId="39" fontId="3" fillId="0" borderId="0" xfId="4" applyNumberFormat="1" applyFont="1" applyAlignment="1">
      <alignment vertical="center"/>
    </xf>
    <xf numFmtId="173" fontId="13" fillId="0" borderId="0" xfId="0" applyNumberFormat="1" applyFont="1" applyFill="1" applyAlignment="1">
      <alignment horizontal="center"/>
    </xf>
    <xf numFmtId="0" fontId="13" fillId="0" borderId="0" xfId="0" applyFont="1" applyFill="1" applyAlignment="1">
      <alignment horizontal="center"/>
    </xf>
    <xf numFmtId="0" fontId="3" fillId="0" borderId="0" xfId="0" applyFont="1" applyFill="1" applyAlignment="1">
      <alignment horizontal="center"/>
    </xf>
    <xf numFmtId="37" fontId="3" fillId="0" borderId="1" xfId="4" applyNumberFormat="1" applyFont="1" applyBorder="1" applyAlignment="1">
      <alignment vertical="center"/>
    </xf>
    <xf numFmtId="172" fontId="3" fillId="0" borderId="0" xfId="4" applyNumberFormat="1" applyFont="1" applyAlignment="1">
      <alignment vertical="center"/>
    </xf>
    <xf numFmtId="43" fontId="3" fillId="0" borderId="1" xfId="6" applyFont="1" applyFill="1" applyBorder="1" applyAlignment="1">
      <alignment vertical="center"/>
    </xf>
    <xf numFmtId="0" fontId="3" fillId="0" borderId="0" xfId="4" applyFont="1" applyAlignment="1">
      <alignment horizontal="right" vertical="center"/>
    </xf>
    <xf numFmtId="37" fontId="3" fillId="0" borderId="0" xfId="4" quotePrefix="1" applyNumberFormat="1" applyFont="1" applyAlignment="1">
      <alignment horizontal="right" vertical="center"/>
    </xf>
    <xf numFmtId="0" fontId="9" fillId="0" borderId="0" xfId="4" applyFont="1" applyAlignment="1">
      <alignment vertical="center"/>
    </xf>
    <xf numFmtId="0" fontId="3" fillId="0" borderId="0" xfId="4" applyFont="1" applyAlignment="1">
      <alignment horizontal="centerContinuous" vertical="center"/>
    </xf>
    <xf numFmtId="0" fontId="14" fillId="0" borderId="0" xfId="4" applyFont="1" applyAlignment="1">
      <alignment horizontal="centerContinuous" vertical="center"/>
    </xf>
    <xf numFmtId="0" fontId="3" fillId="0" borderId="3" xfId="10" applyFont="1" applyFill="1" applyBorder="1" applyAlignment="1">
      <alignment vertical="center"/>
    </xf>
    <xf numFmtId="0" fontId="3" fillId="0" borderId="3" xfId="4" applyFont="1" applyBorder="1" applyAlignment="1">
      <alignment horizontal="right"/>
    </xf>
    <xf numFmtId="0" fontId="7" fillId="0" borderId="0" xfId="4" applyFont="1" applyAlignment="1" applyProtection="1">
      <alignment horizontal="right"/>
      <protection locked="0"/>
    </xf>
    <xf numFmtId="37" fontId="7" fillId="0" borderId="0" xfId="4" applyNumberFormat="1" applyFont="1" applyProtection="1">
      <protection locked="0"/>
    </xf>
    <xf numFmtId="0" fontId="3" fillId="5" borderId="0" xfId="4" applyFont="1" applyFill="1" applyAlignment="1">
      <alignment vertical="center"/>
    </xf>
    <xf numFmtId="0" fontId="7" fillId="5" borderId="0" xfId="4" applyFont="1" applyFill="1" applyAlignment="1" applyProtection="1">
      <alignment horizontal="right"/>
      <protection locked="0"/>
    </xf>
    <xf numFmtId="164" fontId="3" fillId="5" borderId="0" xfId="4" applyNumberFormat="1" applyFont="1" applyFill="1" applyAlignment="1">
      <alignment vertical="center"/>
    </xf>
    <xf numFmtId="170" fontId="24" fillId="0" borderId="0" xfId="11" applyNumberFormat="1" applyFont="1" applyFill="1"/>
    <xf numFmtId="0" fontId="24" fillId="0" borderId="0" xfId="11" applyFont="1" applyFill="1"/>
    <xf numFmtId="0" fontId="25" fillId="0" borderId="0" xfId="11" applyFont="1" applyFill="1" applyAlignment="1">
      <alignment horizontal="center"/>
    </xf>
    <xf numFmtId="0" fontId="26" fillId="0" borderId="0" xfId="12" applyFont="1" applyAlignment="1">
      <alignment horizontal="left"/>
    </xf>
    <xf numFmtId="0" fontId="24" fillId="0" borderId="0" xfId="12" applyFont="1" applyAlignment="1">
      <alignment horizontal="left"/>
    </xf>
    <xf numFmtId="0" fontId="26" fillId="0" borderId="0" xfId="4" applyFont="1"/>
    <xf numFmtId="0" fontId="24" fillId="0" borderId="0" xfId="4" applyFont="1"/>
    <xf numFmtId="0" fontId="26" fillId="0" borderId="0" xfId="11" applyFont="1" applyFill="1"/>
    <xf numFmtId="0" fontId="24" fillId="0" borderId="0" xfId="11" applyFont="1" applyFill="1" applyAlignment="1">
      <alignment horizontal="center"/>
    </xf>
    <xf numFmtId="14" fontId="26" fillId="0" borderId="0" xfId="11" applyNumberFormat="1" applyFont="1" applyFill="1"/>
    <xf numFmtId="164" fontId="24" fillId="0" borderId="0" xfId="6" applyNumberFormat="1" applyFont="1" applyFill="1"/>
    <xf numFmtId="164" fontId="24" fillId="0" borderId="0" xfId="13" applyNumberFormat="1" applyFont="1" applyFill="1"/>
    <xf numFmtId="0" fontId="28" fillId="6" borderId="0" xfId="11" applyFont="1" applyFill="1"/>
    <xf numFmtId="0" fontId="24" fillId="6" borderId="0" xfId="11" applyFont="1" applyFill="1"/>
    <xf numFmtId="0" fontId="25" fillId="6" borderId="1" xfId="11" applyFont="1" applyFill="1" applyBorder="1" applyAlignment="1">
      <alignment horizontal="centerContinuous"/>
    </xf>
    <xf numFmtId="164" fontId="29" fillId="0" borderId="0" xfId="6" applyNumberFormat="1" applyFont="1" applyFill="1" applyBorder="1" applyAlignment="1">
      <alignment horizontal="center" vertical="center"/>
    </xf>
    <xf numFmtId="0" fontId="29" fillId="0" borderId="0" xfId="4" applyFont="1" applyAlignment="1">
      <alignment horizontal="center" vertical="center"/>
    </xf>
    <xf numFmtId="164" fontId="29" fillId="0" borderId="0" xfId="6" quotePrefix="1" applyNumberFormat="1" applyFont="1" applyFill="1" applyBorder="1" applyAlignment="1">
      <alignment horizontal="center" vertical="center"/>
    </xf>
    <xf numFmtId="164" fontId="29" fillId="0" borderId="0" xfId="6" quotePrefix="1" applyNumberFormat="1" applyFont="1" applyFill="1" applyBorder="1" applyAlignment="1">
      <alignment horizontal="centerContinuous" vertical="center"/>
    </xf>
    <xf numFmtId="164" fontId="29" fillId="0" borderId="1" xfId="6" applyNumberFormat="1" applyFont="1" applyFill="1" applyBorder="1" applyAlignment="1">
      <alignment horizontal="centerContinuous" vertical="center"/>
    </xf>
    <xf numFmtId="164" fontId="29" fillId="0" borderId="1" xfId="6" quotePrefix="1" applyNumberFormat="1" applyFont="1" applyFill="1" applyBorder="1" applyAlignment="1">
      <alignment horizontal="centerContinuous" vertical="center"/>
    </xf>
    <xf numFmtId="164" fontId="29" fillId="0" borderId="1" xfId="6" applyNumberFormat="1" applyFont="1" applyFill="1" applyBorder="1" applyAlignment="1">
      <alignment horizontal="center" vertical="center"/>
    </xf>
    <xf numFmtId="0" fontId="29" fillId="0" borderId="1" xfId="11" applyFont="1" applyFill="1" applyBorder="1" applyAlignment="1">
      <alignment horizontal="center"/>
    </xf>
    <xf numFmtId="0" fontId="30" fillId="0" borderId="0" xfId="11" applyFont="1" applyFill="1" applyAlignment="1">
      <alignment horizontal="center" vertical="center"/>
    </xf>
    <xf numFmtId="164" fontId="22" fillId="0" borderId="0" xfId="6" applyNumberFormat="1" applyFont="1" applyFill="1"/>
    <xf numFmtId="164" fontId="24" fillId="0" borderId="0" xfId="11" applyNumberFormat="1" applyFont="1" applyFill="1"/>
    <xf numFmtId="164" fontId="24" fillId="0" borderId="8" xfId="6" applyNumberFormat="1" applyFont="1" applyFill="1" applyBorder="1"/>
    <xf numFmtId="164" fontId="24" fillId="0" borderId="8" xfId="11" applyNumberFormat="1" applyFont="1" applyFill="1" applyBorder="1"/>
    <xf numFmtId="164" fontId="24" fillId="0" borderId="0" xfId="6" applyNumberFormat="1" applyFont="1" applyFill="1" applyBorder="1"/>
    <xf numFmtId="10" fontId="29" fillId="0" borderId="0" xfId="1" applyNumberFormat="1" applyFont="1" applyFill="1" applyBorder="1" applyAlignment="1">
      <alignment horizontal="center" vertical="center"/>
    </xf>
    <xf numFmtId="164" fontId="24" fillId="6" borderId="0" xfId="6" applyNumberFormat="1" applyFont="1" applyFill="1" applyBorder="1"/>
    <xf numFmtId="166" fontId="24" fillId="0" borderId="0" xfId="8" applyNumberFormat="1" applyFont="1" applyFill="1" applyBorder="1" applyAlignment="1">
      <alignment vertical="center"/>
    </xf>
    <xf numFmtId="9" fontId="26" fillId="0" borderId="0" xfId="8" applyFont="1" applyFill="1"/>
    <xf numFmtId="0" fontId="24" fillId="0" borderId="0" xfId="11" quotePrefix="1" applyFont="1" applyFill="1"/>
    <xf numFmtId="3" fontId="31" fillId="0" borderId="1" xfId="11" applyNumberFormat="1" applyFont="1" applyFill="1" applyBorder="1" applyAlignment="1">
      <alignment horizontal="center" wrapText="1"/>
    </xf>
    <xf numFmtId="0" fontId="24" fillId="0" borderId="1" xfId="11" applyFont="1" applyFill="1" applyBorder="1" applyAlignment="1">
      <alignment horizontal="center" wrapText="1"/>
    </xf>
    <xf numFmtId="0" fontId="24" fillId="0" borderId="1" xfId="11" applyFont="1" applyFill="1" applyBorder="1"/>
    <xf numFmtId="3" fontId="24" fillId="0" borderId="0" xfId="11" applyNumberFormat="1" applyFont="1" applyFill="1"/>
    <xf numFmtId="1" fontId="24" fillId="0" borderId="0" xfId="11" applyNumberFormat="1" applyFont="1" applyFill="1"/>
    <xf numFmtId="3" fontId="22" fillId="0" borderId="0" xfId="11" applyNumberFormat="1" applyFont="1" applyFill="1"/>
    <xf numFmtId="164" fontId="22" fillId="5" borderId="0" xfId="6" applyNumberFormat="1" applyFont="1" applyFill="1"/>
    <xf numFmtId="0" fontId="22" fillId="0" borderId="0" xfId="11" applyFont="1" applyFill="1"/>
    <xf numFmtId="175" fontId="22" fillId="0" borderId="0" xfId="6" applyNumberFormat="1" applyFont="1" applyFill="1"/>
    <xf numFmtId="175" fontId="22" fillId="0" borderId="0" xfId="11" applyNumberFormat="1" applyFont="1" applyFill="1"/>
    <xf numFmtId="10" fontId="22" fillId="0" borderId="0" xfId="8" applyNumberFormat="1" applyFont="1" applyFill="1"/>
    <xf numFmtId="44" fontId="22" fillId="0" borderId="0" xfId="14" applyFont="1" applyFill="1"/>
    <xf numFmtId="166" fontId="24" fillId="0" borderId="0" xfId="8" applyNumberFormat="1" applyFont="1" applyFill="1" applyBorder="1"/>
    <xf numFmtId="176" fontId="22" fillId="0" borderId="0" xfId="11" applyNumberFormat="1" applyFont="1" applyFill="1"/>
    <xf numFmtId="43" fontId="24" fillId="0" borderId="0" xfId="11" applyNumberFormat="1" applyFont="1" applyFill="1"/>
    <xf numFmtId="176" fontId="24" fillId="0" borderId="0" xfId="11" applyNumberFormat="1" applyFont="1" applyFill="1"/>
    <xf numFmtId="0" fontId="24" fillId="0" borderId="0" xfId="11" applyFont="1" applyFill="1" applyAlignment="1">
      <alignment horizontal="left"/>
    </xf>
    <xf numFmtId="0" fontId="24" fillId="0" borderId="0" xfId="15" applyNumberFormat="1" applyFont="1" applyFill="1"/>
    <xf numFmtId="0" fontId="3" fillId="0" borderId="0" xfId="5" applyFont="1" applyAlignment="1">
      <alignment horizontal="center"/>
    </xf>
    <xf numFmtId="0" fontId="3" fillId="0" borderId="0" xfId="6" applyNumberFormat="1" applyFont="1" applyFill="1" applyBorder="1" applyAlignment="1">
      <alignment horizontal="center"/>
    </xf>
    <xf numFmtId="0" fontId="3" fillId="0" borderId="0" xfId="5" applyFont="1" applyAlignment="1">
      <alignment horizontal="left" indent="1"/>
    </xf>
    <xf numFmtId="164" fontId="33" fillId="0" borderId="0" xfId="6" applyNumberFormat="1" applyFont="1" applyFill="1" applyBorder="1"/>
    <xf numFmtId="164" fontId="33" fillId="0" borderId="3" xfId="6" applyNumberFormat="1" applyFont="1" applyFill="1" applyBorder="1"/>
    <xf numFmtId="0" fontId="24" fillId="0" borderId="0" xfId="11" applyFont="1" applyFill="1" applyAlignment="1">
      <alignment horizontal="left" indent="1"/>
    </xf>
    <xf numFmtId="0" fontId="24" fillId="0" borderId="0" xfId="11" applyFont="1" applyFill="1" applyAlignment="1">
      <alignment vertical="center"/>
    </xf>
    <xf numFmtId="0" fontId="24" fillId="0" borderId="6" xfId="11" applyFont="1" applyFill="1" applyBorder="1" applyAlignment="1">
      <alignment horizontal="center" vertical="center"/>
    </xf>
    <xf numFmtId="0" fontId="24" fillId="0" borderId="14" xfId="11" applyFont="1" applyFill="1" applyBorder="1" applyAlignment="1">
      <alignment horizontal="left"/>
    </xf>
    <xf numFmtId="0" fontId="24" fillId="0" borderId="2" xfId="11" applyFont="1" applyFill="1" applyBorder="1" applyAlignment="1">
      <alignment horizontal="left"/>
    </xf>
    <xf numFmtId="10" fontId="24" fillId="0" borderId="2" xfId="8" applyNumberFormat="1" applyFont="1" applyFill="1" applyBorder="1" applyAlignment="1"/>
    <xf numFmtId="10" fontId="24" fillId="0" borderId="15" xfId="8" applyNumberFormat="1" applyFont="1" applyFill="1" applyBorder="1" applyAlignment="1"/>
    <xf numFmtId="0" fontId="24" fillId="0" borderId="0" xfId="11" applyFont="1" applyFill="1" applyAlignment="1">
      <alignment horizontal="center" vertical="center"/>
    </xf>
    <xf numFmtId="164" fontId="26" fillId="0" borderId="0" xfId="6" applyNumberFormat="1" applyFont="1" applyFill="1" applyBorder="1" applyAlignment="1">
      <alignment horizontal="left"/>
    </xf>
    <xf numFmtId="0" fontId="20" fillId="0" borderId="0" xfId="16" quotePrefix="1" applyFont="1" applyAlignment="1">
      <alignment horizontal="left" wrapText="1"/>
    </xf>
    <xf numFmtId="0" fontId="20" fillId="0" borderId="0" xfId="16" quotePrefix="1" applyFont="1" applyAlignment="1">
      <alignment horizontal="left"/>
    </xf>
    <xf numFmtId="10" fontId="26" fillId="0" borderId="0" xfId="8" applyNumberFormat="1" applyFont="1" applyFill="1" applyBorder="1" applyAlignment="1"/>
    <xf numFmtId="0" fontId="24" fillId="0" borderId="0" xfId="11" applyFont="1" applyFill="1" applyAlignment="1">
      <alignment horizontal="left" vertical="center" wrapText="1"/>
    </xf>
    <xf numFmtId="10" fontId="24" fillId="0" borderId="0" xfId="8" applyNumberFormat="1" applyFont="1" applyFill="1" applyBorder="1"/>
    <xf numFmtId="164" fontId="3" fillId="0" borderId="0" xfId="13" applyNumberFormat="1" applyFont="1" applyBorder="1" applyAlignment="1">
      <alignment vertical="center"/>
    </xf>
    <xf numFmtId="0" fontId="8" fillId="0" borderId="0" xfId="2" applyFont="1" applyProtection="1">
      <protection locked="0"/>
    </xf>
    <xf numFmtId="166" fontId="3" fillId="5" borderId="5" xfId="8" applyNumberFormat="1" applyFont="1" applyFill="1" applyBorder="1" applyAlignment="1">
      <alignment vertical="center"/>
    </xf>
    <xf numFmtId="166" fontId="3" fillId="0" borderId="0" xfId="8" applyNumberFormat="1" applyFont="1" applyFill="1" applyBorder="1" applyAlignment="1">
      <alignment vertical="center"/>
    </xf>
    <xf numFmtId="10" fontId="3" fillId="0" borderId="0" xfId="8" applyNumberFormat="1" applyFont="1" applyFill="1" applyBorder="1" applyAlignment="1">
      <alignment vertical="center"/>
    </xf>
    <xf numFmtId="166" fontId="3" fillId="5" borderId="13" xfId="8" applyNumberFormat="1" applyFont="1" applyFill="1" applyBorder="1" applyAlignment="1">
      <alignment vertical="center"/>
    </xf>
    <xf numFmtId="166" fontId="3" fillId="0" borderId="7" xfId="8" applyNumberFormat="1" applyFont="1" applyFill="1" applyBorder="1" applyAlignment="1">
      <alignment vertical="center"/>
    </xf>
    <xf numFmtId="10" fontId="3" fillId="0" borderId="7" xfId="8" applyNumberFormat="1" applyFont="1" applyFill="1" applyBorder="1" applyAlignment="1">
      <alignment vertical="center"/>
    </xf>
    <xf numFmtId="164" fontId="3" fillId="0" borderId="0" xfId="13" applyNumberFormat="1" applyFont="1" applyAlignment="1">
      <alignment vertical="center"/>
    </xf>
    <xf numFmtId="164" fontId="29" fillId="0" borderId="1" xfId="6" applyNumberFormat="1" applyFont="1" applyFill="1" applyBorder="1" applyAlignment="1">
      <alignment horizontal="center" vertical="center"/>
    </xf>
  </cellXfs>
  <cellStyles count="17">
    <cellStyle name="Comma 2" xfId="6" xr:uid="{C201D54D-A63A-4BEF-B0B5-73842568019D}"/>
    <cellStyle name="Comma 3" xfId="13" xr:uid="{F521620D-B0CB-45EC-8999-8672D9DF32F1}"/>
    <cellStyle name="Currency 2" xfId="7" xr:uid="{16F0D32A-7127-4FC5-9596-0460BE28AF63}"/>
    <cellStyle name="Currency 3" xfId="14" xr:uid="{EC858F3A-7F64-4C44-A3B6-EC592B8372D1}"/>
    <cellStyle name="Normal" xfId="0" builtinId="0"/>
    <cellStyle name="Normal 11" xfId="16" xr:uid="{34ADFD69-3402-430C-8413-A2130762AD91}"/>
    <cellStyle name="Normal 15" xfId="15" xr:uid="{D0CDFC26-A26D-438D-9789-B01D2B1EF14D}"/>
    <cellStyle name="Normal 2" xfId="4" xr:uid="{8A74510A-7DD8-4F2C-BC3B-50CE8647E204}"/>
    <cellStyle name="Normal 3" xfId="10" xr:uid="{788F4C5A-79D0-4AD9-8246-8B41BCA9DD6A}"/>
    <cellStyle name="Normal 4" xfId="11" xr:uid="{F68EC38E-6F11-4C30-827B-4DF80671783F}"/>
    <cellStyle name="Normal 8" xfId="5" xr:uid="{CD443B5E-BAA0-4653-A934-747C10501D89}"/>
    <cellStyle name="Normal 9" xfId="2" xr:uid="{7D2D5E0D-0099-4952-B671-F1347ACBBE5B}"/>
    <cellStyle name="Normal 9 2" xfId="9" xr:uid="{DD6B82C6-0F04-4CFD-93B1-2A550E2715F8}"/>
    <cellStyle name="Normal_lineloss1299" xfId="12" xr:uid="{A683AAA4-C708-4C3C-A848-A6368F064D88}"/>
    <cellStyle name="Normal_schl15" xfId="3" xr:uid="{C485F927-7730-4D7C-BA38-61465DD0079D}"/>
    <cellStyle name="Percent" xfId="1" builtinId="5"/>
    <cellStyle name="Percent 2" xfId="8" xr:uid="{EC5408F6-077A-43C5-A312-C1EF1C143C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ukeenergy.sharepoint.com/sites/DEFRC2024/Shared%20Documents/MFRs/5.%20%202024%20Litigated%20Filing/MFR%20E%20Schedules/MFR%20E-Schedules%20-%20COS%20Excel%20Files/1%20-%20JSS%20&amp;%20COS%20(12%20CP%20&amp;%2025%20AD)%20-%202027.xlsx" TargetMode="External"/><Relationship Id="rId1" Type="http://schemas.openxmlformats.org/officeDocument/2006/relationships/externalLinkPath" Target="MFR%20E-Schedules%20-%20COS%20Excel%20Files/1%20-%20JSS%20&amp;%20COS%20(12%20CP%20&amp;%2025%20AD)%20-%20202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ukeenergy.sharepoint.com/sites/DEFRC2024/Shared%20Documents/MFRs/5.%20%202024%20Litigated%20Filing/MFR%20E%20Schedules/MFR%20E-Schedules%20-%20COS%20Excel%20Files/1%20-%20JSS%20&amp;%20COS%20(12%20CP%20&amp;%2025%20AD)%20-%202026.xlsx" TargetMode="External"/><Relationship Id="rId1" Type="http://schemas.openxmlformats.org/officeDocument/2006/relationships/externalLinkPath" Target="MFR%20E-Schedules%20-%20COS%20Excel%20Files/1%20-%20JSS%20&amp;%20COS%20(12%20CP%20&amp;%2025%20AD)%20-%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ukeenergy.sharepoint.com/sites/DEFRC2024/Shared%20Documents/MFRs/5.%20%202024%20Litigated%20Filing/MFR%20E%20Schedules/MFR%20E-Schedules%20-%20COS%20Excel%20Files/1%20-%20JSS%20&amp;%20COS%20(12%20CP%20&amp;%2025%20AD)%20-%202025.xlsx" TargetMode="External"/><Relationship Id="rId1" Type="http://schemas.openxmlformats.org/officeDocument/2006/relationships/externalLinkPath" Target="MFR%20E-Schedules%20-%20COS%20Excel%20Files/1%20-%20JSS%20&amp;%20COS%20(12%20CP%20&amp;%2025%20AD)%20-%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FR%20E-Schedules%20-%20COS%20Excel%20Files/1%20-%20JSS%20&amp;%20COS%20(12%20CP%20&amp;%201-13%20AD)%20-%2020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FR%20E-Schedules%20-%20COS%20Excel%20Files/1%20-%20JSS%20&amp;%20COS%20(12%20CP%20&amp;%201-13%20AD)%20-%2020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FR%20E-Schedules%20-%20COS%20Excel%20Files/1%20-%20JSS%20&amp;%20COS%20(12%20CP%20&amp;%201-13%20AD)%20-%2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000063\corpplng_guest\Regulatory%20Planning\Florida\FORECAST%20-%205%20YEAR\2022\2022%2012&amp;0%20Rate%20Case%20(Litigated)\Cost%20of%20Service\4%20-%20E-9,%2010,%2016,%2019%20(a,%20b,%20c)%20Load%20Data,%20Alloc%20Factors,%20Losse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dukeenergy.sharepoint.com/sites/DEFRC2024/Shared%20Documents/MFRs/5.%20%202024%20Litigated%20Filing/MFR%20E%20Schedules/MFR%20E-Schedules%20-%20COS%20Excel%20Files/3%20-%202023%20Spring%20-%20Retail%20Revenue%20Forecast.xlsx" TargetMode="External"/><Relationship Id="rId1" Type="http://schemas.openxmlformats.org/officeDocument/2006/relationships/externalLinkPath" Target="MFR%20E-Schedules%20-%20COS%20Excel%20Files/3%20-%202023%20Spring%20-%20Retail%20Revenue%20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Tie-Out Check"/>
      <sheetName val="MFR E-6"/>
      <sheetName val="Check to UI"/>
      <sheetName val="Income Tie-Out"/>
      <sheetName val="MFR A-1"/>
      <sheetName val="MFR C-44"/>
      <sheetName val="REG FL Working Capital 7 Logic"/>
    </sheetNames>
    <sheetDataSet>
      <sheetData sheetId="0"/>
      <sheetData sheetId="1">
        <row r="23">
          <cell r="H23">
            <v>2971074.6433799025</v>
          </cell>
        </row>
        <row r="43">
          <cell r="H43">
            <v>3581136.9907787987</v>
          </cell>
          <cell r="I43">
            <v>2267052.6804331047</v>
          </cell>
          <cell r="J43">
            <v>206877.40184209036</v>
          </cell>
          <cell r="K43">
            <v>12483.211638901663</v>
          </cell>
          <cell r="L43">
            <v>832519.31748838176</v>
          </cell>
          <cell r="M43">
            <v>10246.697640124874</v>
          </cell>
          <cell r="N43">
            <v>112111.81630934996</v>
          </cell>
          <cell r="O43">
            <v>22028.778177426819</v>
          </cell>
          <cell r="P43">
            <v>110880.30115566259</v>
          </cell>
          <cell r="Q43">
            <v>6936.7889099135682</v>
          </cell>
        </row>
      </sheetData>
      <sheetData sheetId="2">
        <row r="20">
          <cell r="AB20">
            <v>13985956.109701524</v>
          </cell>
        </row>
      </sheetData>
      <sheetData sheetId="3">
        <row r="8">
          <cell r="A8" t="str">
            <v>Line No.</v>
          </cell>
        </row>
      </sheetData>
      <sheetData sheetId="4"/>
      <sheetData sheetId="5"/>
      <sheetData sheetId="6"/>
      <sheetData sheetId="7"/>
      <sheetData sheetId="8"/>
      <sheetData sheetId="9"/>
      <sheetData sheetId="10"/>
      <sheetData sheetId="11">
        <row r="52">
          <cell r="C52">
            <v>2990985.4662485216</v>
          </cell>
        </row>
      </sheetData>
      <sheetData sheetId="12"/>
      <sheetData sheetId="13"/>
      <sheetData sheetId="14"/>
      <sheetData sheetId="15"/>
      <sheetData sheetId="16"/>
      <sheetData sheetId="17">
        <row r="17">
          <cell r="L17">
            <v>7.0653013433283493E-2</v>
          </cell>
        </row>
      </sheetData>
      <sheetData sheetId="18"/>
      <sheetData sheetId="19"/>
      <sheetData sheetId="20"/>
      <sheetData sheetId="21">
        <row r="12">
          <cell r="H12">
            <v>1385938.6194160669</v>
          </cell>
          <cell r="I12">
            <v>840890.53855831036</v>
          </cell>
          <cell r="J12">
            <v>74618.935269361042</v>
          </cell>
          <cell r="K12">
            <v>5224.9885951985716</v>
          </cell>
          <cell r="L12">
            <v>393495.69282460969</v>
          </cell>
          <cell r="N12">
            <v>3256.9557556277573</v>
          </cell>
          <cell r="O12">
            <v>0</v>
          </cell>
          <cell r="P12">
            <v>0</v>
          </cell>
          <cell r="U12">
            <v>63739.317106944938</v>
          </cell>
          <cell r="V12">
            <v>4712.1913060146271</v>
          </cell>
          <cell r="AD12">
            <v>1329953.6038678368</v>
          </cell>
          <cell r="AE12">
            <v>806922.76141491649</v>
          </cell>
          <cell r="AF12">
            <v>71604.702032244328</v>
          </cell>
          <cell r="AG12">
            <v>5013.9250865817448</v>
          </cell>
          <cell r="AH12">
            <v>377600.42721015622</v>
          </cell>
          <cell r="AJ12">
            <v>3125.3909690894166</v>
          </cell>
          <cell r="AK12">
            <v>0</v>
          </cell>
          <cell r="AL12">
            <v>0</v>
          </cell>
          <cell r="AQ12">
            <v>61164.566241881832</v>
          </cell>
          <cell r="AR12">
            <v>4521.8422531506449</v>
          </cell>
        </row>
        <row r="13">
          <cell r="H13">
            <v>261953.26288304615</v>
          </cell>
          <cell r="I13">
            <v>139519.28844937481</v>
          </cell>
          <cell r="J13">
            <v>14403.699995593377</v>
          </cell>
          <cell r="K13">
            <v>1361.6595229411371</v>
          </cell>
          <cell r="L13">
            <v>86437.33409966508</v>
          </cell>
          <cell r="N13">
            <v>2188.9372000899725</v>
          </cell>
          <cell r="O13">
            <v>0</v>
          </cell>
          <cell r="P13">
            <v>0</v>
          </cell>
          <cell r="U13">
            <v>16705.131194095502</v>
          </cell>
          <cell r="V13">
            <v>1337.2124212862739</v>
          </cell>
          <cell r="AD13">
            <v>246943.36863605163</v>
          </cell>
          <cell r="AE13">
            <v>153564.51511521204</v>
          </cell>
          <cell r="AF13">
            <v>18722.299244140781</v>
          </cell>
          <cell r="AG13">
            <v>1031.5724855702119</v>
          </cell>
          <cell r="AH13">
            <v>61737.508276769338</v>
          </cell>
          <cell r="AJ13">
            <v>2306.7043106321994</v>
          </cell>
          <cell r="AK13">
            <v>0</v>
          </cell>
          <cell r="AL13">
            <v>0</v>
          </cell>
          <cell r="AQ13">
            <v>8575.2441413224733</v>
          </cell>
          <cell r="AR13">
            <v>1005.5244631629732</v>
          </cell>
        </row>
        <row r="14">
          <cell r="H14">
            <v>578387.6866992861</v>
          </cell>
          <cell r="I14">
            <v>365206.62109446566</v>
          </cell>
          <cell r="J14">
            <v>30923.803522982511</v>
          </cell>
          <cell r="K14">
            <v>1908.970655255438</v>
          </cell>
          <cell r="L14">
            <v>155333.93092803613</v>
          </cell>
          <cell r="N14">
            <v>205.34744100357304</v>
          </cell>
          <cell r="O14">
            <v>0</v>
          </cell>
          <cell r="P14">
            <v>0</v>
          </cell>
          <cell r="U14">
            <v>23166.233529514204</v>
          </cell>
          <cell r="V14">
            <v>1642.7795280285843</v>
          </cell>
          <cell r="AD14">
            <v>536668.49433264276</v>
          </cell>
          <cell r="AE14">
            <v>342284.71325039479</v>
          </cell>
          <cell r="AF14">
            <v>30447.659798721921</v>
          </cell>
          <cell r="AG14">
            <v>1761.6096463289778</v>
          </cell>
          <cell r="AH14">
            <v>140010.52086749912</v>
          </cell>
          <cell r="AJ14">
            <v>581.65871083094009</v>
          </cell>
          <cell r="AK14">
            <v>0</v>
          </cell>
          <cell r="AL14">
            <v>0</v>
          </cell>
          <cell r="AQ14">
            <v>20054.553614467764</v>
          </cell>
          <cell r="AR14">
            <v>1527.7784443992766</v>
          </cell>
        </row>
        <row r="15">
          <cell r="H15">
            <v>768872.66096911277</v>
          </cell>
          <cell r="I15">
            <v>495695.78452009714</v>
          </cell>
          <cell r="J15">
            <v>44762.182227734083</v>
          </cell>
          <cell r="K15">
            <v>2052.485885853353</v>
          </cell>
          <cell r="L15">
            <v>198167.10341741095</v>
          </cell>
          <cell r="N15">
            <v>6868.8770681944879</v>
          </cell>
          <cell r="O15">
            <v>0</v>
          </cell>
          <cell r="P15">
            <v>0</v>
          </cell>
          <cell r="U15">
            <v>18137.10635387545</v>
          </cell>
          <cell r="V15">
            <v>3189.1214959474405</v>
          </cell>
          <cell r="AD15">
            <v>713267.77712359186</v>
          </cell>
          <cell r="AE15">
            <v>462539.45577887452</v>
          </cell>
          <cell r="AF15">
            <v>43192.873299155093</v>
          </cell>
          <cell r="AG15">
            <v>1979.0941133725619</v>
          </cell>
          <cell r="AH15">
            <v>179873.40465338965</v>
          </cell>
          <cell r="AJ15">
            <v>5696.7945384387176</v>
          </cell>
          <cell r="AK15">
            <v>0</v>
          </cell>
          <cell r="AL15">
            <v>0</v>
          </cell>
          <cell r="AQ15">
            <v>17205.124467796497</v>
          </cell>
          <cell r="AR15">
            <v>2781.0302725648835</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304362.27610203653</v>
          </cell>
          <cell r="I17">
            <v>233446.55006311747</v>
          </cell>
          <cell r="J17">
            <v>19380.93511756006</v>
          </cell>
          <cell r="K17">
            <v>393.03665787408693</v>
          </cell>
          <cell r="L17">
            <v>43219.939418257651</v>
          </cell>
          <cell r="N17">
            <v>1315.3418032439561</v>
          </cell>
          <cell r="O17">
            <v>0</v>
          </cell>
          <cell r="P17">
            <v>5287.9994725412544</v>
          </cell>
          <cell r="U17">
            <v>1318.4735694421563</v>
          </cell>
          <cell r="V17">
            <v>0</v>
          </cell>
          <cell r="AD17">
            <v>287770.12273699581</v>
          </cell>
          <cell r="AE17">
            <v>212501.14080236614</v>
          </cell>
          <cell r="AF17">
            <v>18509.178856753912</v>
          </cell>
          <cell r="AG17">
            <v>478.09110347843773</v>
          </cell>
          <cell r="AH17">
            <v>45463.432000444969</v>
          </cell>
          <cell r="AJ17">
            <v>1217.0710941162718</v>
          </cell>
          <cell r="AK17">
            <v>0</v>
          </cell>
          <cell r="AL17">
            <v>6936.7889099135682</v>
          </cell>
          <cell r="AQ17">
            <v>2499.0183613510599</v>
          </cell>
          <cell r="AR17">
            <v>165.4016085715308</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57215.055061972635</v>
          </cell>
          <cell r="I19">
            <v>50024.200206346577</v>
          </cell>
          <cell r="J19">
            <v>3635.4591304450196</v>
          </cell>
          <cell r="K19">
            <v>410.05516992449202</v>
          </cell>
          <cell r="L19">
            <v>1341.6361948876925</v>
          </cell>
          <cell r="N19">
            <v>1801.8307917590294</v>
          </cell>
          <cell r="O19">
            <v>0</v>
          </cell>
          <cell r="P19">
            <v>0</v>
          </cell>
          <cell r="U19">
            <v>1.8581815699852788</v>
          </cell>
          <cell r="V19">
            <v>1.538703983057218E-2</v>
          </cell>
          <cell r="AD19">
            <v>59827.400936445505</v>
          </cell>
          <cell r="AE19">
            <v>48709.572613576573</v>
          </cell>
          <cell r="AF19">
            <v>3915.3215833472432</v>
          </cell>
          <cell r="AG19">
            <v>361.03242744877957</v>
          </cell>
          <cell r="AH19">
            <v>4925.4890353211795</v>
          </cell>
          <cell r="AJ19">
            <v>1415.0572221816876</v>
          </cell>
          <cell r="AK19">
            <v>0</v>
          </cell>
          <cell r="AL19">
            <v>0</v>
          </cell>
          <cell r="AQ19">
            <v>451.73955917207002</v>
          </cell>
          <cell r="AR19">
            <v>49.188495397979146</v>
          </cell>
        </row>
        <row r="20">
          <cell r="H20">
            <v>93717.829795375626</v>
          </cell>
          <cell r="I20">
            <v>75664.981195521817</v>
          </cell>
          <cell r="J20">
            <v>7684.3594614241811</v>
          </cell>
          <cell r="K20">
            <v>653.63194777883268</v>
          </cell>
          <cell r="L20">
            <v>6451.573246722829</v>
          </cell>
          <cell r="N20">
            <v>3064.7481417692702</v>
          </cell>
          <cell r="O20">
            <v>0</v>
          </cell>
          <cell r="P20">
            <v>0</v>
          </cell>
          <cell r="U20">
            <v>175.69971120953639</v>
          </cell>
          <cell r="V20">
            <v>22.836090949193231</v>
          </cell>
          <cell r="AD20">
            <v>88074.899637785435</v>
          </cell>
          <cell r="AE20">
            <v>68513.31285124</v>
          </cell>
          <cell r="AF20">
            <v>7007.9663319347555</v>
          </cell>
          <cell r="AG20">
            <v>546.07129651212426</v>
          </cell>
          <cell r="AH20">
            <v>8968.7624025799742</v>
          </cell>
          <cell r="AJ20">
            <v>2361.9577907164171</v>
          </cell>
          <cell r="AK20">
            <v>0</v>
          </cell>
          <cell r="AL20">
            <v>0</v>
          </cell>
          <cell r="AQ20">
            <v>607.74057552284364</v>
          </cell>
          <cell r="AR20">
            <v>69.088389279339751</v>
          </cell>
        </row>
        <row r="21">
          <cell r="H21">
            <v>516.50092370741288</v>
          </cell>
          <cell r="I21">
            <v>0</v>
          </cell>
          <cell r="J21">
            <v>0</v>
          </cell>
          <cell r="K21">
            <v>0</v>
          </cell>
          <cell r="L21">
            <v>0</v>
          </cell>
          <cell r="N21">
            <v>0</v>
          </cell>
          <cell r="O21">
            <v>0</v>
          </cell>
          <cell r="P21">
            <v>0</v>
          </cell>
          <cell r="U21">
            <v>516.50092370741299</v>
          </cell>
          <cell r="V21">
            <v>0</v>
          </cell>
          <cell r="AD21">
            <v>484.15416760892896</v>
          </cell>
          <cell r="AE21">
            <v>65.447798688127847</v>
          </cell>
          <cell r="AF21">
            <v>6.9183744979433355</v>
          </cell>
          <cell r="AG21">
            <v>0.316214181571422</v>
          </cell>
          <cell r="AH21">
            <v>22.598544816491842</v>
          </cell>
          <cell r="AJ21">
            <v>0.40257196681488239</v>
          </cell>
          <cell r="AK21">
            <v>0</v>
          </cell>
          <cell r="AL21">
            <v>0</v>
          </cell>
          <cell r="AQ21">
            <v>388.18744229923732</v>
          </cell>
          <cell r="AR21">
            <v>0.28322115874232284</v>
          </cell>
        </row>
        <row r="22">
          <cell r="H22">
            <v>118476.67672172758</v>
          </cell>
          <cell r="I22">
            <v>0</v>
          </cell>
          <cell r="J22">
            <v>0</v>
          </cell>
          <cell r="K22">
            <v>0</v>
          </cell>
          <cell r="L22">
            <v>0</v>
          </cell>
          <cell r="N22">
            <v>0</v>
          </cell>
          <cell r="O22">
            <v>118476.67672172758</v>
          </cell>
          <cell r="P22">
            <v>0</v>
          </cell>
          <cell r="U22">
            <v>0</v>
          </cell>
          <cell r="V22">
            <v>0</v>
          </cell>
          <cell r="AD22">
            <v>110880.30115566259</v>
          </cell>
          <cell r="AE22">
            <v>0</v>
          </cell>
          <cell r="AF22">
            <v>0</v>
          </cell>
          <cell r="AG22">
            <v>0</v>
          </cell>
          <cell r="AH22">
            <v>0</v>
          </cell>
          <cell r="AJ22">
            <v>0</v>
          </cell>
          <cell r="AK22">
            <v>110880.30115566259</v>
          </cell>
          <cell r="AL22">
            <v>0</v>
          </cell>
          <cell r="AQ22">
            <v>0</v>
          </cell>
          <cell r="AR22">
            <v>0</v>
          </cell>
        </row>
        <row r="23">
          <cell r="H23">
            <v>221578.64981642389</v>
          </cell>
          <cell r="I23">
            <v>192987.15160306654</v>
          </cell>
          <cell r="J23">
            <v>13952.871638235087</v>
          </cell>
          <cell r="K23">
            <v>1582.8455255273611</v>
          </cell>
          <cell r="L23">
            <v>5936.0162360224122</v>
          </cell>
          <cell r="N23">
            <v>6938.8361725787954</v>
          </cell>
          <cell r="O23">
            <v>0</v>
          </cell>
          <cell r="P23">
            <v>0</v>
          </cell>
          <cell r="U23">
            <v>171.40988181533254</v>
          </cell>
          <cell r="V23">
            <v>9.5187719609673511</v>
          </cell>
          <cell r="AD23">
            <v>207266.87159957644</v>
          </cell>
          <cell r="AE23">
            <v>171951.77214801993</v>
          </cell>
          <cell r="AF23">
            <v>13470.482321294427</v>
          </cell>
          <cell r="AG23">
            <v>1311.4992654272537</v>
          </cell>
          <cell r="AH23">
            <v>13917.174497404745</v>
          </cell>
          <cell r="AJ23">
            <v>5323.7409694543521</v>
          </cell>
          <cell r="AK23">
            <v>0</v>
          </cell>
          <cell r="AL23">
            <v>0</v>
          </cell>
          <cell r="AQ23">
            <v>1165.6419055361782</v>
          </cell>
          <cell r="AR23">
            <v>126.56049243950314</v>
          </cell>
        </row>
        <row r="25">
          <cell r="H25">
            <v>3791019.2183887558</v>
          </cell>
          <cell r="I25">
            <v>2393435.1156903002</v>
          </cell>
          <cell r="J25">
            <v>209362.24636333535</v>
          </cell>
          <cell r="K25">
            <v>13587.673960353273</v>
          </cell>
          <cell r="L25">
            <v>890383.22636561247</v>
          </cell>
          <cell r="N25">
            <v>25640.874374266841</v>
          </cell>
          <cell r="O25">
            <v>118476.67672172758</v>
          </cell>
          <cell r="P25">
            <v>5287.9994725412544</v>
          </cell>
          <cell r="U25">
            <v>123931.73045217452</v>
          </cell>
          <cell r="V25">
            <v>10913.675001226917</v>
          </cell>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MFR E-6"/>
      <sheetName val="Tie-Out Check"/>
      <sheetName val="Check to UI"/>
      <sheetName val="Income Tie-Out"/>
      <sheetName val="MFR A-1"/>
      <sheetName val="MFR C-44"/>
      <sheetName val="REG FL Working Capital 7 Logic"/>
    </sheetNames>
    <sheetDataSet>
      <sheetData sheetId="0"/>
      <sheetData sheetId="1">
        <row r="23">
          <cell r="H23">
            <v>2954653.3744586552</v>
          </cell>
        </row>
        <row r="43">
          <cell r="H43">
            <v>3469181.8980048392</v>
          </cell>
          <cell r="I43">
            <v>2182785.6245901696</v>
          </cell>
          <cell r="J43">
            <v>202779.0957847478</v>
          </cell>
          <cell r="K43">
            <v>12204.266660734691</v>
          </cell>
          <cell r="L43">
            <v>816791.69275236677</v>
          </cell>
          <cell r="M43">
            <v>10102.813744040113</v>
          </cell>
          <cell r="N43">
            <v>110469.80642306703</v>
          </cell>
          <cell r="O43">
            <v>21232.329273469208</v>
          </cell>
          <cell r="P43">
            <v>106876.55083489435</v>
          </cell>
          <cell r="Q43">
            <v>5939.7207434116463</v>
          </cell>
        </row>
      </sheetData>
      <sheetData sheetId="2">
        <row r="20">
          <cell r="AB20">
            <v>13391601.631407283</v>
          </cell>
        </row>
      </sheetData>
      <sheetData sheetId="3">
        <row r="8">
          <cell r="A8" t="str">
            <v>Line No.</v>
          </cell>
        </row>
      </sheetData>
      <sheetData sheetId="4"/>
      <sheetData sheetId="5"/>
      <sheetData sheetId="6"/>
      <sheetData sheetId="7"/>
      <sheetData sheetId="8"/>
      <sheetData sheetId="9"/>
      <sheetData sheetId="10"/>
      <sheetData sheetId="11">
        <row r="52">
          <cell r="C52">
            <v>2974801.8382301405</v>
          </cell>
        </row>
      </sheetData>
      <sheetData sheetId="12"/>
      <sheetData sheetId="13"/>
      <sheetData sheetId="14"/>
      <sheetData sheetId="15"/>
      <sheetData sheetId="16"/>
      <sheetData sheetId="17">
        <row r="17">
          <cell r="L17">
            <v>7.0242016418533962E-2</v>
          </cell>
        </row>
      </sheetData>
      <sheetData sheetId="18"/>
      <sheetData sheetId="19"/>
      <sheetData sheetId="20">
        <row r="12">
          <cell r="H12">
            <v>1355004.0426770928</v>
          </cell>
          <cell r="I12">
            <v>813544.42722332687</v>
          </cell>
          <cell r="J12">
            <v>74132.271174863752</v>
          </cell>
          <cell r="K12">
            <v>5189.6654834532656</v>
          </cell>
          <cell r="L12">
            <v>390701.86566551297</v>
          </cell>
          <cell r="N12">
            <v>3211.3595811447103</v>
          </cell>
          <cell r="O12">
            <v>0</v>
          </cell>
          <cell r="P12">
            <v>0</v>
          </cell>
          <cell r="U12">
            <v>63509.039480275373</v>
          </cell>
          <cell r="V12">
            <v>4715.4140685162829</v>
          </cell>
          <cell r="AD12">
            <v>1307509.4541731784</v>
          </cell>
          <cell r="AE12">
            <v>785028.6875372309</v>
          </cell>
          <cell r="AF12">
            <v>71533.842237814606</v>
          </cell>
          <cell r="AG12">
            <v>5007.761209483273</v>
          </cell>
          <cell r="AH12">
            <v>377007.27601629426</v>
          </cell>
          <cell r="AJ12">
            <v>3098.797406390433</v>
          </cell>
          <cell r="AK12">
            <v>0</v>
          </cell>
          <cell r="AL12">
            <v>0</v>
          </cell>
          <cell r="AQ12">
            <v>61282.968117096898</v>
          </cell>
          <cell r="AR12">
            <v>4550.1329005226607</v>
          </cell>
        </row>
        <row r="13">
          <cell r="H13">
            <v>242346.76125039757</v>
          </cell>
          <cell r="I13">
            <v>127465.27103605788</v>
          </cell>
          <cell r="J13">
            <v>13509.150025889074</v>
          </cell>
          <cell r="K13">
            <v>1279.0746730945332</v>
          </cell>
          <cell r="L13">
            <v>81056.306317093185</v>
          </cell>
          <cell r="N13">
            <v>2045.4286824470498</v>
          </cell>
          <cell r="O13">
            <v>0</v>
          </cell>
          <cell r="P13">
            <v>0</v>
          </cell>
          <cell r="U13">
            <v>15733.298602095749</v>
          </cell>
          <cell r="V13">
            <v>1258.2319137201061</v>
          </cell>
          <cell r="AD13">
            <v>230681.35527400469</v>
          </cell>
          <cell r="AE13">
            <v>145722.91141300302</v>
          </cell>
          <cell r="AF13">
            <v>17672.57234670352</v>
          </cell>
          <cell r="AG13">
            <v>944.10199187998217</v>
          </cell>
          <cell r="AH13">
            <v>55695.168752239464</v>
          </cell>
          <cell r="AJ13">
            <v>2186.7751117902703</v>
          </cell>
          <cell r="AK13">
            <v>0</v>
          </cell>
          <cell r="AL13">
            <v>0</v>
          </cell>
          <cell r="AQ13">
            <v>7539.2795677966296</v>
          </cell>
          <cell r="AR13">
            <v>920.54546915468995</v>
          </cell>
        </row>
        <row r="14">
          <cell r="H14">
            <v>558856.08974198322</v>
          </cell>
          <cell r="I14">
            <v>349405.27897563693</v>
          </cell>
          <cell r="J14">
            <v>30378.820732855209</v>
          </cell>
          <cell r="K14">
            <v>1870.9686773388441</v>
          </cell>
          <cell r="L14">
            <v>152547.81561177989</v>
          </cell>
          <cell r="N14">
            <v>195.36219120807209</v>
          </cell>
          <cell r="O14">
            <v>0</v>
          </cell>
          <cell r="P14">
            <v>0</v>
          </cell>
          <cell r="U14">
            <v>22834.834580051196</v>
          </cell>
          <cell r="V14">
            <v>1623.0089731132139</v>
          </cell>
          <cell r="AD14">
            <v>522484.11529087223</v>
          </cell>
          <cell r="AE14">
            <v>330889.11589141208</v>
          </cell>
          <cell r="AF14">
            <v>30046.217791771116</v>
          </cell>
          <cell r="AG14">
            <v>1733.4196970663081</v>
          </cell>
          <cell r="AH14">
            <v>137905.60026078386</v>
          </cell>
          <cell r="AJ14">
            <v>574.37756988846775</v>
          </cell>
          <cell r="AK14">
            <v>0</v>
          </cell>
          <cell r="AL14">
            <v>0</v>
          </cell>
          <cell r="AQ14">
            <v>19820.810987462795</v>
          </cell>
          <cell r="AR14">
            <v>1514.5730924877923</v>
          </cell>
        </row>
        <row r="15">
          <cell r="H15">
            <v>731005.84962827165</v>
          </cell>
          <cell r="I15">
            <v>466719.24169162376</v>
          </cell>
          <cell r="J15">
            <v>43258.03001574213</v>
          </cell>
          <cell r="K15">
            <v>1979.6451891049046</v>
          </cell>
          <cell r="L15">
            <v>191731.41919861</v>
          </cell>
          <cell r="N15">
            <v>6614.7180615874731</v>
          </cell>
          <cell r="O15">
            <v>0</v>
          </cell>
          <cell r="P15">
            <v>0</v>
          </cell>
          <cell r="U15">
            <v>17602.146380233975</v>
          </cell>
          <cell r="V15">
            <v>3100.6490913691277</v>
          </cell>
          <cell r="AD15">
            <v>683349.39375744178</v>
          </cell>
          <cell r="AE15">
            <v>439991.58480404277</v>
          </cell>
          <cell r="AF15">
            <v>41924.858833237835</v>
          </cell>
          <cell r="AG15">
            <v>1917.9956859587007</v>
          </cell>
          <cell r="AH15">
            <v>174539.18214802328</v>
          </cell>
          <cell r="AJ15">
            <v>5498.4242474311131</v>
          </cell>
          <cell r="AK15">
            <v>0</v>
          </cell>
          <cell r="AL15">
            <v>0</v>
          </cell>
          <cell r="AQ15">
            <v>16766.564267084097</v>
          </cell>
          <cell r="AR15">
            <v>2710.7837716638783</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291346.1590276424</v>
          </cell>
          <cell r="I17">
            <v>222192.71000376792</v>
          </cell>
          <cell r="J17">
            <v>18936.47644168706</v>
          </cell>
          <cell r="K17">
            <v>383.22355607770453</v>
          </cell>
          <cell r="L17">
            <v>42217.692236014118</v>
          </cell>
          <cell r="N17">
            <v>1280.4899544443781</v>
          </cell>
          <cell r="O17">
            <v>0</v>
          </cell>
          <cell r="P17">
            <v>5042.7644777988007</v>
          </cell>
          <cell r="U17">
            <v>1292.8023578524972</v>
          </cell>
          <cell r="V17">
            <v>0</v>
          </cell>
          <cell r="AD17">
            <v>276970.59591652796</v>
          </cell>
          <cell r="AE17">
            <v>203996.11856132973</v>
          </cell>
          <cell r="AF17">
            <v>18146.314472985599</v>
          </cell>
          <cell r="AG17">
            <v>469.3092754817539</v>
          </cell>
          <cell r="AH17">
            <v>44590.56620374776</v>
          </cell>
          <cell r="AJ17">
            <v>1189.168326633609</v>
          </cell>
          <cell r="AK17">
            <v>0</v>
          </cell>
          <cell r="AL17">
            <v>5939.7207434116463</v>
          </cell>
          <cell r="AQ17">
            <v>2474.5427031440236</v>
          </cell>
          <cell r="AR17">
            <v>164.85562979391048</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53606.294698778242</v>
          </cell>
          <cell r="I19">
            <v>46841.563509004198</v>
          </cell>
          <cell r="J19">
            <v>3421.379431602707</v>
          </cell>
          <cell r="K19">
            <v>386.69582874368541</v>
          </cell>
          <cell r="L19">
            <v>1262.7774513832576</v>
          </cell>
          <cell r="N19">
            <v>1692.1029379811428</v>
          </cell>
          <cell r="O19">
            <v>0</v>
          </cell>
          <cell r="P19">
            <v>0</v>
          </cell>
          <cell r="U19">
            <v>1.7609900551746003</v>
          </cell>
          <cell r="V19">
            <v>1.4550008097289596E-2</v>
          </cell>
          <cell r="AD19">
            <v>57053.775733731796</v>
          </cell>
          <cell r="AE19">
            <v>46303.000061405568</v>
          </cell>
          <cell r="AF19">
            <v>3746.2872747259817</v>
          </cell>
          <cell r="AG19">
            <v>343.16156052031977</v>
          </cell>
          <cell r="AH19">
            <v>4829.6241922710105</v>
          </cell>
          <cell r="AJ19">
            <v>1332.5808579731904</v>
          </cell>
          <cell r="AK19">
            <v>0</v>
          </cell>
          <cell r="AL19">
            <v>0</v>
          </cell>
          <cell r="AQ19">
            <v>450.09543370013103</v>
          </cell>
          <cell r="AR19">
            <v>49.026353135605994</v>
          </cell>
        </row>
        <row r="20">
          <cell r="H20">
            <v>87236.297248871095</v>
          </cell>
          <cell r="I20">
            <v>70365.59037559721</v>
          </cell>
          <cell r="J20">
            <v>7182.3046747328744</v>
          </cell>
          <cell r="K20">
            <v>612.17366822800682</v>
          </cell>
          <cell r="L20">
            <v>6030.9498602496687</v>
          </cell>
          <cell r="N20">
            <v>2858.3917114717574</v>
          </cell>
          <cell r="O20">
            <v>0</v>
          </cell>
          <cell r="P20">
            <v>0</v>
          </cell>
          <cell r="U20">
            <v>165.41237211920551</v>
          </cell>
          <cell r="V20">
            <v>21.474586472384647</v>
          </cell>
          <cell r="AD20">
            <v>82563.272691819904</v>
          </cell>
          <cell r="AE20">
            <v>64133.0074322152</v>
          </cell>
          <cell r="AF20">
            <v>6582.2096648608031</v>
          </cell>
          <cell r="AG20">
            <v>512.78087289690586</v>
          </cell>
          <cell r="AH20">
            <v>8481.2659796300595</v>
          </cell>
          <cell r="AJ20">
            <v>2204.9143359592508</v>
          </cell>
          <cell r="AK20">
            <v>0</v>
          </cell>
          <cell r="AL20">
            <v>0</v>
          </cell>
          <cell r="AQ20">
            <v>582.88737307952317</v>
          </cell>
          <cell r="AR20">
            <v>66.207033178175919</v>
          </cell>
        </row>
        <row r="21">
          <cell r="H21">
            <v>517.35985266103307</v>
          </cell>
          <cell r="I21">
            <v>0</v>
          </cell>
          <cell r="J21">
            <v>0</v>
          </cell>
          <cell r="K21">
            <v>0</v>
          </cell>
          <cell r="L21">
            <v>0</v>
          </cell>
          <cell r="N21">
            <v>0</v>
          </cell>
          <cell r="O21">
            <v>0</v>
          </cell>
          <cell r="P21">
            <v>0</v>
          </cell>
          <cell r="U21">
            <v>517.35985266103307</v>
          </cell>
          <cell r="V21">
            <v>0</v>
          </cell>
          <cell r="AD21">
            <v>487.76144897476252</v>
          </cell>
          <cell r="AE21">
            <v>67.549797478954432</v>
          </cell>
          <cell r="AF21">
            <v>7.1049246881122174</v>
          </cell>
          <cell r="AG21">
            <v>0.32467604123608806</v>
          </cell>
          <cell r="AH21">
            <v>23.166784673561743</v>
          </cell>
          <cell r="AJ21">
            <v>0.4132904016270702</v>
          </cell>
          <cell r="AK21">
            <v>0</v>
          </cell>
          <cell r="AL21">
            <v>0</v>
          </cell>
          <cell r="AQ21">
            <v>388.9098323385486</v>
          </cell>
          <cell r="AR21">
            <v>0.29214335272234015</v>
          </cell>
        </row>
        <row r="22">
          <cell r="H22">
            <v>113088.54648489349</v>
          </cell>
          <cell r="I22">
            <v>0</v>
          </cell>
          <cell r="J22">
            <v>0</v>
          </cell>
          <cell r="K22">
            <v>0</v>
          </cell>
          <cell r="L22">
            <v>0</v>
          </cell>
          <cell r="N22">
            <v>0</v>
          </cell>
          <cell r="O22">
            <v>113088.54648489349</v>
          </cell>
          <cell r="P22">
            <v>0</v>
          </cell>
          <cell r="U22">
            <v>0</v>
          </cell>
          <cell r="V22">
            <v>0</v>
          </cell>
          <cell r="AD22">
            <v>106876.55083489435</v>
          </cell>
          <cell r="AE22">
            <v>0</v>
          </cell>
          <cell r="AF22">
            <v>0</v>
          </cell>
          <cell r="AG22">
            <v>0</v>
          </cell>
          <cell r="AH22">
            <v>0</v>
          </cell>
          <cell r="AJ22">
            <v>0</v>
          </cell>
          <cell r="AK22">
            <v>106876.55083489435</v>
          </cell>
          <cell r="AL22">
            <v>0</v>
          </cell>
          <cell r="AQ22">
            <v>0</v>
          </cell>
          <cell r="AR22">
            <v>0</v>
          </cell>
        </row>
        <row r="23">
          <cell r="H23">
            <v>212991.91389756787</v>
          </cell>
          <cell r="I23">
            <v>185444.9830260606</v>
          </cell>
          <cell r="J23">
            <v>13491.7060023757</v>
          </cell>
          <cell r="K23">
            <v>1533.4826833027375</v>
          </cell>
          <cell r="L23">
            <v>5665.0153475784837</v>
          </cell>
          <cell r="N23">
            <v>6696.3312600409254</v>
          </cell>
          <cell r="O23">
            <v>0</v>
          </cell>
          <cell r="P23">
            <v>0</v>
          </cell>
          <cell r="U23">
            <v>152.14928189979469</v>
          </cell>
          <cell r="V23">
            <v>8.2463079504358472</v>
          </cell>
          <cell r="AD23">
            <v>201205.62630689231</v>
          </cell>
          <cell r="AE23">
            <v>166653.66034370594</v>
          </cell>
          <cell r="AF23">
            <v>13119.688237960208</v>
          </cell>
          <cell r="AG23">
            <v>1275.4116914062129</v>
          </cell>
          <cell r="AH23">
            <v>13719.842414703637</v>
          </cell>
          <cell r="AJ23">
            <v>5146.8781270012441</v>
          </cell>
          <cell r="AK23">
            <v>0</v>
          </cell>
          <cell r="AL23">
            <v>0</v>
          </cell>
          <cell r="AQ23">
            <v>1163.748141364387</v>
          </cell>
          <cell r="AR23">
            <v>126.39735075067573</v>
          </cell>
        </row>
        <row r="25">
          <cell r="H25">
            <v>3645999.3145081596</v>
          </cell>
          <cell r="I25">
            <v>2281979.065841075</v>
          </cell>
          <cell r="J25">
            <v>204310.13849974851</v>
          </cell>
          <cell r="K25">
            <v>13234.929759343682</v>
          </cell>
          <cell r="L25">
            <v>871213.84168822155</v>
          </cell>
          <cell r="N25">
            <v>24594.184380325511</v>
          </cell>
          <cell r="O25">
            <v>113088.54648489349</v>
          </cell>
          <cell r="P25">
            <v>5042.7644777988007</v>
          </cell>
          <cell r="U25">
            <v>121808.803897244</v>
          </cell>
          <cell r="V25">
            <v>10727.03949114965</v>
          </cell>
        </row>
      </sheetData>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Tie-Out Check"/>
      <sheetName val="Check to UI"/>
      <sheetName val="MFR E-6"/>
      <sheetName val="Income Tie-Out"/>
      <sheetName val="MFR A-1"/>
      <sheetName val="MFR C-44"/>
      <sheetName val="REG FL Working Capital 7 Logic"/>
    </sheetNames>
    <sheetDataSet>
      <sheetData sheetId="0"/>
      <sheetData sheetId="1">
        <row r="23">
          <cell r="H23">
            <v>2917976.0812456589</v>
          </cell>
        </row>
        <row r="43">
          <cell r="H43">
            <v>3359766.0112679075</v>
          </cell>
          <cell r="I43">
            <v>2119643.1357678459</v>
          </cell>
          <cell r="J43">
            <v>196086.07475527626</v>
          </cell>
          <cell r="K43">
            <v>11837.442096871071</v>
          </cell>
          <cell r="L43">
            <v>787588.47349469538</v>
          </cell>
          <cell r="M43">
            <v>9655.1769959138692</v>
          </cell>
          <cell r="N43">
            <v>105854.35290484448</v>
          </cell>
          <cell r="O43">
            <v>20554.559988491703</v>
          </cell>
          <cell r="P43">
            <v>103604.37734712621</v>
          </cell>
          <cell r="Q43">
            <v>4942.4207120013889</v>
          </cell>
        </row>
      </sheetData>
      <sheetData sheetId="2">
        <row r="20">
          <cell r="AB20">
            <v>12872480.045604073</v>
          </cell>
        </row>
      </sheetData>
      <sheetData sheetId="3">
        <row r="8">
          <cell r="A8" t="str">
            <v>Line No.</v>
          </cell>
        </row>
      </sheetData>
      <sheetData sheetId="4"/>
      <sheetData sheetId="5"/>
      <sheetData sheetId="6"/>
      <sheetData sheetId="7"/>
      <sheetData sheetId="8"/>
      <sheetData sheetId="9"/>
      <sheetData sheetId="10"/>
      <sheetData sheetId="11">
        <row r="52">
          <cell r="C52">
            <v>2937840.5446895701</v>
          </cell>
        </row>
      </sheetData>
      <sheetData sheetId="12"/>
      <sheetData sheetId="13"/>
      <sheetData sheetId="14"/>
      <sheetData sheetId="15"/>
      <sheetData sheetId="16"/>
      <sheetData sheetId="17">
        <row r="17">
          <cell r="L17">
            <v>7.0051696528795296E-2</v>
          </cell>
        </row>
      </sheetData>
      <sheetData sheetId="18"/>
      <sheetData sheetId="19"/>
      <sheetData sheetId="20"/>
      <sheetData sheetId="21"/>
      <sheetData sheetId="22">
        <row r="12">
          <cell r="H12">
            <v>1314075.327860696</v>
          </cell>
          <cell r="I12">
            <v>791796.08880246244</v>
          </cell>
          <cell r="J12">
            <v>71590.823861850717</v>
          </cell>
          <cell r="K12">
            <v>5032.9085057064676</v>
          </cell>
          <cell r="L12">
            <v>377192.18210913421</v>
          </cell>
          <cell r="N12">
            <v>3114.358527029849</v>
          </cell>
          <cell r="O12">
            <v>0</v>
          </cell>
          <cell r="P12">
            <v>0</v>
          </cell>
          <cell r="U12">
            <v>60841.687679950242</v>
          </cell>
          <cell r="V12">
            <v>4507.2783745621882</v>
          </cell>
          <cell r="AD12">
            <v>1269822.5835055418</v>
          </cell>
          <cell r="AE12">
            <v>765131.6089354821</v>
          </cell>
          <cell r="AF12">
            <v>69179.934349381932</v>
          </cell>
          <cell r="AG12">
            <v>4863.4204948262268</v>
          </cell>
          <cell r="AH12">
            <v>364489.87436943076</v>
          </cell>
          <cell r="AJ12">
            <v>3009.4795229081337</v>
          </cell>
          <cell r="AK12">
            <v>0</v>
          </cell>
          <cell r="AL12">
            <v>0</v>
          </cell>
          <cell r="AQ12">
            <v>4355.4914614240097</v>
          </cell>
          <cell r="AR12">
            <v>58792.785616306595</v>
          </cell>
        </row>
        <row r="13">
          <cell r="H13">
            <v>241155.83017085263</v>
          </cell>
          <cell r="I13">
            <v>127394.40526245415</v>
          </cell>
          <cell r="J13">
            <v>13398.764967986119</v>
          </cell>
          <cell r="K13">
            <v>1271.089076353079</v>
          </cell>
          <cell r="L13">
            <v>80351.089632444069</v>
          </cell>
          <cell r="N13">
            <v>2034.0720576513838</v>
          </cell>
          <cell r="O13">
            <v>0</v>
          </cell>
          <cell r="P13">
            <v>0</v>
          </cell>
          <cell r="U13">
            <v>15471.033547816478</v>
          </cell>
          <cell r="V13">
            <v>1235.3756261473575</v>
          </cell>
          <cell r="AD13">
            <v>231493.02467983344</v>
          </cell>
          <cell r="AE13">
            <v>146377.1202595332</v>
          </cell>
          <cell r="AF13">
            <v>17726.794036524239</v>
          </cell>
          <cell r="AG13">
            <v>943.79560747798814</v>
          </cell>
          <cell r="AH13">
            <v>55846.652522411125</v>
          </cell>
          <cell r="AJ13">
            <v>2182.9333421607871</v>
          </cell>
          <cell r="AK13">
            <v>0</v>
          </cell>
          <cell r="AL13">
            <v>0</v>
          </cell>
          <cell r="AQ13">
            <v>913.98901821253139</v>
          </cell>
          <cell r="AR13">
            <v>7501.7392462598964</v>
          </cell>
        </row>
        <row r="14">
          <cell r="H14">
            <v>528886.55077917245</v>
          </cell>
          <cell r="I14">
            <v>331778.28634263831</v>
          </cell>
          <cell r="J14">
            <v>28619.602226045063</v>
          </cell>
          <cell r="K14">
            <v>1770.9445711444391</v>
          </cell>
          <cell r="L14">
            <v>143674.10153288679</v>
          </cell>
          <cell r="N14">
            <v>184.91790702713018</v>
          </cell>
          <cell r="O14">
            <v>0</v>
          </cell>
          <cell r="P14">
            <v>0</v>
          </cell>
          <cell r="U14">
            <v>21343.793807246835</v>
          </cell>
          <cell r="V14">
            <v>1514.9043921837972</v>
          </cell>
          <cell r="AD14">
            <v>498342.78542946064</v>
          </cell>
          <cell r="AE14">
            <v>316635.79285433213</v>
          </cell>
          <cell r="AF14">
            <v>28602.787749221796</v>
          </cell>
          <cell r="AG14">
            <v>1652.8392885132428</v>
          </cell>
          <cell r="AH14">
            <v>130827.97125955047</v>
          </cell>
          <cell r="AJ14">
            <v>559.51705466514056</v>
          </cell>
          <cell r="AK14">
            <v>0</v>
          </cell>
          <cell r="AL14">
            <v>0</v>
          </cell>
          <cell r="AQ14">
            <v>1425.9548998999128</v>
          </cell>
          <cell r="AR14">
            <v>18637.922323277893</v>
          </cell>
        </row>
        <row r="15">
          <cell r="H15">
            <v>695677.19366943289</v>
          </cell>
          <cell r="I15">
            <v>445672.34087781241</v>
          </cell>
          <cell r="J15">
            <v>40995.195628037189</v>
          </cell>
          <cell r="K15">
            <v>1884.4016450768431</v>
          </cell>
          <cell r="L15">
            <v>181394.47000340093</v>
          </cell>
          <cell r="N15">
            <v>6288.9066950154875</v>
          </cell>
          <cell r="O15">
            <v>0</v>
          </cell>
          <cell r="P15">
            <v>0</v>
          </cell>
          <cell r="U15">
            <v>16535.813632501617</v>
          </cell>
          <cell r="V15">
            <v>2906.0651875883846</v>
          </cell>
          <cell r="AD15">
            <v>655334.02811059321</v>
          </cell>
          <cell r="AE15">
            <v>423295.27675026871</v>
          </cell>
          <cell r="AF15">
            <v>40112.324300610402</v>
          </cell>
          <cell r="AG15">
            <v>1841.3097985594386</v>
          </cell>
          <cell r="AH15">
            <v>166382.54197585006</v>
          </cell>
          <cell r="AJ15">
            <v>5248.6840872770745</v>
          </cell>
          <cell r="AK15">
            <v>0</v>
          </cell>
          <cell r="AL15">
            <v>0</v>
          </cell>
          <cell r="AQ15">
            <v>2557.0825331135397</v>
          </cell>
          <cell r="AR15">
            <v>15896.808664913829</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281799.69422418921</v>
          </cell>
          <cell r="I17">
            <v>215526.06783422161</v>
          </cell>
          <cell r="J17">
            <v>18229.609410821056</v>
          </cell>
          <cell r="K17">
            <v>370.54471373832189</v>
          </cell>
          <cell r="L17">
            <v>40627.474818353119</v>
          </cell>
          <cell r="N17">
            <v>1236.6371771748816</v>
          </cell>
          <cell r="O17">
            <v>0</v>
          </cell>
          <cell r="P17">
            <v>4574.2112240859133</v>
          </cell>
          <cell r="U17">
            <v>1235.1490457944067</v>
          </cell>
          <cell r="V17">
            <v>0</v>
          </cell>
          <cell r="AD17">
            <v>269421.87781901477</v>
          </cell>
          <cell r="AE17">
            <v>199214.95178887981</v>
          </cell>
          <cell r="AF17">
            <v>17630.846949121955</v>
          </cell>
          <cell r="AG17">
            <v>460.42404834418301</v>
          </cell>
          <cell r="AH17">
            <v>43427.313046918076</v>
          </cell>
          <cell r="AJ17">
            <v>1157.4221646361007</v>
          </cell>
          <cell r="AK17">
            <v>0</v>
          </cell>
          <cell r="AL17">
            <v>4942.4207120013889</v>
          </cell>
          <cell r="AQ17">
            <v>163.93436811668732</v>
          </cell>
          <cell r="AR17">
            <v>2424.5647409966236</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51301.751040449162</v>
          </cell>
          <cell r="I19">
            <v>44799.265783933712</v>
          </cell>
          <cell r="J19">
            <v>3290.1380766195225</v>
          </cell>
          <cell r="K19">
            <v>372.63224898795318</v>
          </cell>
          <cell r="L19">
            <v>1214.6134910007845</v>
          </cell>
          <cell r="N19">
            <v>1623.375597955971</v>
          </cell>
          <cell r="O19">
            <v>0</v>
          </cell>
          <cell r="P19">
            <v>0</v>
          </cell>
          <cell r="U19">
            <v>1.7117648907389393</v>
          </cell>
          <cell r="V19">
            <v>1.4077060490182747E-2</v>
          </cell>
          <cell r="AD19">
            <v>55397.266023121891</v>
          </cell>
          <cell r="AE19">
            <v>44834.439695168585</v>
          </cell>
          <cell r="AF19">
            <v>3651.7287090011323</v>
          </cell>
          <cell r="AG19">
            <v>332.82480092359231</v>
          </cell>
          <cell r="AH19">
            <v>4800.0614431898684</v>
          </cell>
          <cell r="AJ19">
            <v>1281.5545876232909</v>
          </cell>
          <cell r="AK19">
            <v>0</v>
          </cell>
          <cell r="AL19">
            <v>0</v>
          </cell>
          <cell r="AQ19">
            <v>48.743087139477325</v>
          </cell>
          <cell r="AR19">
            <v>447.91370007594384</v>
          </cell>
        </row>
        <row r="20">
          <cell r="H20">
            <v>81063.294142454426</v>
          </cell>
          <cell r="I20">
            <v>65318.507578206263</v>
          </cell>
          <cell r="J20">
            <v>6703.6774827859354</v>
          </cell>
          <cell r="K20">
            <v>572.56131181926389</v>
          </cell>
          <cell r="L20">
            <v>5630.5478356435406</v>
          </cell>
          <cell r="N20">
            <v>2661.64653982143</v>
          </cell>
          <cell r="O20">
            <v>0</v>
          </cell>
          <cell r="P20">
            <v>0</v>
          </cell>
          <cell r="U20">
            <v>156.13934073642764</v>
          </cell>
          <cell r="V20">
            <v>20.214053441579008</v>
          </cell>
          <cell r="AD20">
            <v>77224.390171754145</v>
          </cell>
          <cell r="AE20">
            <v>59892.383617809333</v>
          </cell>
          <cell r="AF20">
            <v>6172.7432283423313</v>
          </cell>
          <cell r="AG20">
            <v>480.83127164696367</v>
          </cell>
          <cell r="AH20">
            <v>8007.6634415030649</v>
          </cell>
          <cell r="AJ20">
            <v>2055.0821420320322</v>
          </cell>
          <cell r="AK20">
            <v>0</v>
          </cell>
          <cell r="AL20">
            <v>0</v>
          </cell>
          <cell r="AQ20">
            <v>62.707936626926092</v>
          </cell>
          <cell r="AR20">
            <v>552.97853379349942</v>
          </cell>
        </row>
        <row r="21">
          <cell r="H21">
            <v>571.60248541909516</v>
          </cell>
          <cell r="I21">
            <v>0</v>
          </cell>
          <cell r="J21">
            <v>0</v>
          </cell>
          <cell r="K21">
            <v>0</v>
          </cell>
          <cell r="L21">
            <v>0</v>
          </cell>
          <cell r="N21">
            <v>0</v>
          </cell>
          <cell r="O21">
            <v>0</v>
          </cell>
          <cell r="P21">
            <v>0</v>
          </cell>
          <cell r="U21">
            <v>571.60248541909516</v>
          </cell>
          <cell r="V21">
            <v>0</v>
          </cell>
          <cell r="AD21">
            <v>539.22071669980176</v>
          </cell>
          <cell r="AE21">
            <v>74.934172642151168</v>
          </cell>
          <cell r="AF21">
            <v>7.8652827961760252</v>
          </cell>
          <cell r="AG21">
            <v>0.35946274294091063</v>
          </cell>
          <cell r="AH21">
            <v>25.614765397743298</v>
          </cell>
          <cell r="AJ21">
            <v>0.45806752558434316</v>
          </cell>
          <cell r="AK21">
            <v>0</v>
          </cell>
          <cell r="AL21">
            <v>0</v>
          </cell>
          <cell r="AQ21">
            <v>0.32062163158508389</v>
          </cell>
          <cell r="AR21">
            <v>429.66834396362088</v>
          </cell>
        </row>
        <row r="22">
          <cell r="H22">
            <v>108686.38208154769</v>
          </cell>
          <cell r="I22">
            <v>0</v>
          </cell>
          <cell r="J22">
            <v>0</v>
          </cell>
          <cell r="K22">
            <v>0</v>
          </cell>
          <cell r="L22">
            <v>0</v>
          </cell>
          <cell r="N22">
            <v>0</v>
          </cell>
          <cell r="O22">
            <v>108686.38208154769</v>
          </cell>
          <cell r="P22">
            <v>0</v>
          </cell>
          <cell r="U22">
            <v>0</v>
          </cell>
          <cell r="V22">
            <v>0</v>
          </cell>
          <cell r="AD22">
            <v>103604.37734712621</v>
          </cell>
          <cell r="AE22">
            <v>0</v>
          </cell>
          <cell r="AF22">
            <v>0</v>
          </cell>
          <cell r="AG22">
            <v>0</v>
          </cell>
          <cell r="AH22">
            <v>0</v>
          </cell>
          <cell r="AJ22">
            <v>0</v>
          </cell>
          <cell r="AK22">
            <v>103604.37734712621</v>
          </cell>
          <cell r="AL22">
            <v>0</v>
          </cell>
          <cell r="AQ22">
            <v>0</v>
          </cell>
          <cell r="AR22">
            <v>0</v>
          </cell>
        </row>
        <row r="23">
          <cell r="H23">
            <v>208204.78472690683</v>
          </cell>
          <cell r="I23">
            <v>181270.08646287865</v>
          </cell>
          <cell r="J23">
            <v>13260.275545339464</v>
          </cell>
          <cell r="K23">
            <v>1510.5287338084909</v>
          </cell>
          <cell r="L23">
            <v>5457.4334205927207</v>
          </cell>
          <cell r="N23">
            <v>6569.928490549335</v>
          </cell>
          <cell r="O23">
            <v>0</v>
          </cell>
          <cell r="P23">
            <v>0</v>
          </cell>
          <cell r="U23">
            <v>129.9399191766984</v>
          </cell>
          <cell r="V23">
            <v>6.5921651331755404</v>
          </cell>
          <cell r="AD23">
            <v>198586.46090717395</v>
          </cell>
          <cell r="AE23">
            <v>164186.63893794772</v>
          </cell>
          <cell r="AF23">
            <v>13001.050150276269</v>
          </cell>
          <cell r="AG23">
            <v>1261.6373238364963</v>
          </cell>
          <cell r="AH23">
            <v>13780.780670444115</v>
          </cell>
          <cell r="AJ23">
            <v>5059.4290196635584</v>
          </cell>
          <cell r="AK23">
            <v>0</v>
          </cell>
          <cell r="AL23">
            <v>0</v>
          </cell>
          <cell r="AQ23">
            <v>126.95306974920149</v>
          </cell>
          <cell r="AR23">
            <v>1169.9717352565801</v>
          </cell>
        </row>
        <row r="25">
          <cell r="H25">
            <v>3511422.4111811207</v>
          </cell>
          <cell r="I25">
            <v>2203555.0489446074</v>
          </cell>
          <cell r="J25">
            <v>196088.0871994851</v>
          </cell>
          <cell r="K25">
            <v>12785.610806634857</v>
          </cell>
          <cell r="L25">
            <v>835541.91284345614</v>
          </cell>
          <cell r="N25">
            <v>23713.842992225473</v>
          </cell>
          <cell r="O25">
            <v>108686.38208154769</v>
          </cell>
          <cell r="P25">
            <v>4574.2112240859133</v>
          </cell>
          <cell r="U25">
            <v>116286.87122353252</v>
          </cell>
          <cell r="V25">
            <v>10190.443876116973</v>
          </cell>
        </row>
      </sheetData>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Tie-Out Check"/>
      <sheetName val="MFR E-6"/>
      <sheetName val="Check to UI"/>
      <sheetName val="Income Tie-Out"/>
      <sheetName val="MFR A-1"/>
      <sheetName val="MFR C-44"/>
      <sheetName val="REG FL Working Capital 7 Logic"/>
    </sheetNames>
    <sheetDataSet>
      <sheetData sheetId="0"/>
      <sheetData sheetId="1">
        <row r="43">
          <cell r="H43">
            <v>3581136.9198830184</v>
          </cell>
          <cell r="I43">
            <v>2285222.8007338969</v>
          </cell>
          <cell r="J43">
            <v>206600.96487524602</v>
          </cell>
          <cell r="K43">
            <v>12142.985960971013</v>
          </cell>
          <cell r="L43">
            <v>821217.43468703225</v>
          </cell>
          <cell r="M43">
            <v>9832.0476814477315</v>
          </cell>
          <cell r="N43">
            <v>107742.04297207674</v>
          </cell>
          <cell r="O43">
            <v>20561.555907092217</v>
          </cell>
          <cell r="P43">
            <v>110880.30097680372</v>
          </cell>
          <cell r="Q43">
            <v>6936.7889046087275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H12">
            <v>1385938.527227791</v>
          </cell>
          <cell r="I12">
            <v>864576.17205524025</v>
          </cell>
          <cell r="J12">
            <v>74258.586288865015</v>
          </cell>
          <cell r="K12">
            <v>4781.4879189358771</v>
          </cell>
          <cell r="L12">
            <v>378763.14010608289</v>
          </cell>
          <cell r="N12">
            <v>1344.360371410957</v>
          </cell>
          <cell r="O12">
            <v>0</v>
          </cell>
          <cell r="P12">
            <v>0</v>
          </cell>
          <cell r="U12">
            <v>58043.105520299876</v>
          </cell>
          <cell r="V12">
            <v>4171.6749669556493</v>
          </cell>
          <cell r="AD12">
            <v>1329953.5243577417</v>
          </cell>
          <cell r="AE12">
            <v>829651.61916758341</v>
          </cell>
          <cell r="AF12">
            <v>71258.909835087776</v>
          </cell>
          <cell r="AG12">
            <v>4588.3396590342081</v>
          </cell>
          <cell r="AH12">
            <v>363462.9986717272</v>
          </cell>
          <cell r="AJ12">
            <v>1290.0549186270093</v>
          </cell>
          <cell r="AK12">
            <v>0</v>
          </cell>
          <cell r="AL12">
            <v>0</v>
          </cell>
          <cell r="AQ12">
            <v>55698.453600102221</v>
          </cell>
          <cell r="AR12">
            <v>4003.1601083168016</v>
          </cell>
        </row>
        <row r="13">
          <cell r="H13">
            <v>261953.26270627227</v>
          </cell>
          <cell r="I13">
            <v>139519.28835522308</v>
          </cell>
          <cell r="J13">
            <v>14403.699985873332</v>
          </cell>
          <cell r="K13">
            <v>1361.6595220222491</v>
          </cell>
          <cell r="L13">
            <v>86437.334041334601</v>
          </cell>
          <cell r="N13">
            <v>2188.9371986128126</v>
          </cell>
          <cell r="O13">
            <v>0</v>
          </cell>
          <cell r="P13">
            <v>0</v>
          </cell>
          <cell r="U13">
            <v>16705.131182822381</v>
          </cell>
          <cell r="V13">
            <v>1337.2124203838832</v>
          </cell>
          <cell r="AD13">
            <v>246943.36976930525</v>
          </cell>
          <cell r="AE13">
            <v>149005.77293109478</v>
          </cell>
          <cell r="AF13">
            <v>18791.653920304467</v>
          </cell>
          <cell r="AG13">
            <v>1116.9322111130025</v>
          </cell>
          <cell r="AH13">
            <v>64573.052178610837</v>
          </cell>
          <cell r="AJ13">
            <v>2674.8180721306799</v>
          </cell>
          <cell r="AK13">
            <v>0</v>
          </cell>
          <cell r="AL13">
            <v>0</v>
          </cell>
          <cell r="AQ13">
            <v>9671.5832309803336</v>
          </cell>
          <cell r="AR13">
            <v>1109.5566258293529</v>
          </cell>
        </row>
        <row r="14">
          <cell r="H14">
            <v>578387.68620634871</v>
          </cell>
          <cell r="I14">
            <v>365206.62078321417</v>
          </cell>
          <cell r="J14">
            <v>30923.803496627355</v>
          </cell>
          <cell r="K14">
            <v>1908.9706536284971</v>
          </cell>
          <cell r="L14">
            <v>155333.93079565107</v>
          </cell>
          <cell r="N14">
            <v>205.34744082856341</v>
          </cell>
          <cell r="O14">
            <v>0</v>
          </cell>
          <cell r="P14">
            <v>0</v>
          </cell>
          <cell r="U14">
            <v>23166.233509770525</v>
          </cell>
          <cell r="V14">
            <v>1642.7795266285073</v>
          </cell>
          <cell r="AD14">
            <v>536668.49659004493</v>
          </cell>
          <cell r="AE14">
            <v>342284.71476139693</v>
          </cell>
          <cell r="AF14">
            <v>30447.659963334801</v>
          </cell>
          <cell r="AG14">
            <v>1761.6096535375459</v>
          </cell>
          <cell r="AH14">
            <v>140010.52137063621</v>
          </cell>
          <cell r="AJ14">
            <v>581.65872142380442</v>
          </cell>
          <cell r="AK14">
            <v>0</v>
          </cell>
          <cell r="AL14">
            <v>0</v>
          </cell>
          <cell r="AQ14">
            <v>20054.553668817258</v>
          </cell>
          <cell r="AR14">
            <v>1527.7784508983577</v>
          </cell>
        </row>
        <row r="15">
          <cell r="H15">
            <v>768872.66015870741</v>
          </cell>
          <cell r="I15">
            <v>495695.78399762494</v>
          </cell>
          <cell r="J15">
            <v>44762.182180553944</v>
          </cell>
          <cell r="K15">
            <v>2052.4858836899966</v>
          </cell>
          <cell r="L15">
            <v>198167.10320853931</v>
          </cell>
          <cell r="N15">
            <v>6868.8770609545682</v>
          </cell>
          <cell r="O15">
            <v>0</v>
          </cell>
          <cell r="P15">
            <v>0</v>
          </cell>
          <cell r="U15">
            <v>18137.106334758613</v>
          </cell>
          <cell r="V15">
            <v>3189.12149258605</v>
          </cell>
          <cell r="AD15">
            <v>713267.77998903359</v>
          </cell>
          <cell r="AE15">
            <v>462539.45769333158</v>
          </cell>
          <cell r="AF15">
            <v>43192.87350753841</v>
          </cell>
          <cell r="AG15">
            <v>1979.0941228918525</v>
          </cell>
          <cell r="AH15">
            <v>179873.40529318294</v>
          </cell>
          <cell r="AJ15">
            <v>5696.7945472088777</v>
          </cell>
          <cell r="AK15">
            <v>0</v>
          </cell>
          <cell r="AL15">
            <v>0</v>
          </cell>
          <cell r="AQ15">
            <v>17205.124544851846</v>
          </cell>
          <cell r="AR15">
            <v>2781.030280028051</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304362.27557934908</v>
          </cell>
          <cell r="I17">
            <v>233446.54966069188</v>
          </cell>
          <cell r="J17">
            <v>19380.935084150333</v>
          </cell>
          <cell r="K17">
            <v>393.03665719655271</v>
          </cell>
          <cell r="L17">
            <v>43219.939343753191</v>
          </cell>
          <cell r="N17">
            <v>1315.3418009765114</v>
          </cell>
          <cell r="O17">
            <v>0</v>
          </cell>
          <cell r="P17">
            <v>5287.9994654113689</v>
          </cell>
          <cell r="U17">
            <v>1318.4735671693124</v>
          </cell>
          <cell r="V17">
            <v>0</v>
          </cell>
          <cell r="AD17">
            <v>287770.12378034816</v>
          </cell>
          <cell r="AE17">
            <v>212501.14145386397</v>
          </cell>
          <cell r="AF17">
            <v>18509.178932438626</v>
          </cell>
          <cell r="AG17">
            <v>478.09110757191365</v>
          </cell>
          <cell r="AH17">
            <v>45463.432273516199</v>
          </cell>
          <cell r="AJ17">
            <v>1217.0710982788614</v>
          </cell>
          <cell r="AK17">
            <v>0</v>
          </cell>
          <cell r="AL17">
            <v>6936.7889046087275</v>
          </cell>
          <cell r="AQ17">
            <v>2499.0183973789321</v>
          </cell>
          <cell r="AR17">
            <v>165.40161269094125</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57215.054860972647</v>
          </cell>
          <cell r="I19">
            <v>50024.200030608488</v>
          </cell>
          <cell r="J19">
            <v>3635.4591176734293</v>
          </cell>
          <cell r="K19">
            <v>410.05516848394291</v>
          </cell>
          <cell r="L19">
            <v>1341.6361901744424</v>
          </cell>
          <cell r="N19">
            <v>1801.8307854290877</v>
          </cell>
          <cell r="O19">
            <v>0</v>
          </cell>
          <cell r="P19">
            <v>0</v>
          </cell>
          <cell r="U19">
            <v>1.8581815634573728</v>
          </cell>
          <cell r="V19">
            <v>1.5387039776516565E-2</v>
          </cell>
          <cell r="AD19">
            <v>59827.401212048389</v>
          </cell>
          <cell r="AE19">
            <v>48709.572765033088</v>
          </cell>
          <cell r="AF19">
            <v>3915.321603691461</v>
          </cell>
          <cell r="AG19">
            <v>361.03242773899296</v>
          </cell>
          <cell r="AH19">
            <v>4925.4891294003546</v>
          </cell>
          <cell r="AJ19">
            <v>1415.0572191946842</v>
          </cell>
          <cell r="AK19">
            <v>0</v>
          </cell>
          <cell r="AL19">
            <v>0</v>
          </cell>
          <cell r="AQ19">
            <v>451.7395703686866</v>
          </cell>
          <cell r="AR19">
            <v>49.188496621105024</v>
          </cell>
        </row>
        <row r="20">
          <cell r="H20">
            <v>93717.829638233379</v>
          </cell>
          <cell r="I20">
            <v>75664.981068649824</v>
          </cell>
          <cell r="J20">
            <v>7684.3594485393569</v>
          </cell>
          <cell r="K20">
            <v>653.63194668284893</v>
          </cell>
          <cell r="L20">
            <v>6451.5732359050926</v>
          </cell>
          <cell r="N20">
            <v>3064.7481366304246</v>
          </cell>
          <cell r="O20">
            <v>0</v>
          </cell>
          <cell r="P20">
            <v>0</v>
          </cell>
          <cell r="U20">
            <v>175.69971091493019</v>
          </cell>
          <cell r="V20">
            <v>22.836090910902598</v>
          </cell>
          <cell r="AD20">
            <v>88074.899968912592</v>
          </cell>
          <cell r="AE20">
            <v>68513.313054305807</v>
          </cell>
          <cell r="AF20">
            <v>7007.9663537936249</v>
          </cell>
          <cell r="AG20">
            <v>546.07129713266602</v>
          </cell>
          <cell r="AH20">
            <v>8968.7624973255097</v>
          </cell>
          <cell r="AJ20">
            <v>2361.9577887116816</v>
          </cell>
          <cell r="AK20">
            <v>0</v>
          </cell>
          <cell r="AL20">
            <v>0</v>
          </cell>
          <cell r="AQ20">
            <v>607.74058710392535</v>
          </cell>
          <cell r="AR20">
            <v>69.088390539386822</v>
          </cell>
        </row>
        <row r="21">
          <cell r="H21">
            <v>516.50092083068989</v>
          </cell>
          <cell r="I21">
            <v>0</v>
          </cell>
          <cell r="J21">
            <v>0</v>
          </cell>
          <cell r="K21">
            <v>0</v>
          </cell>
          <cell r="L21">
            <v>0</v>
          </cell>
          <cell r="N21">
            <v>0</v>
          </cell>
          <cell r="O21">
            <v>0</v>
          </cell>
          <cell r="P21">
            <v>0</v>
          </cell>
          <cell r="U21">
            <v>516.50092083068989</v>
          </cell>
          <cell r="V21">
            <v>0</v>
          </cell>
          <cell r="AD21">
            <v>484.15416792628986</v>
          </cell>
          <cell r="AE21">
            <v>65.44780032496584</v>
          </cell>
          <cell r="AF21">
            <v>6.9183746709706719</v>
          </cell>
          <cell r="AG21">
            <v>0.31621418947988339</v>
          </cell>
          <cell r="AH21">
            <v>22.598545381677496</v>
          </cell>
          <cell r="AJ21">
            <v>0.40257197688313684</v>
          </cell>
          <cell r="AK21">
            <v>0</v>
          </cell>
          <cell r="AL21">
            <v>0</v>
          </cell>
          <cell r="AQ21">
            <v>388.18744021648723</v>
          </cell>
          <cell r="AR21">
            <v>0.2832211658256345</v>
          </cell>
        </row>
        <row r="22">
          <cell r="H22">
            <v>118476.67648133512</v>
          </cell>
          <cell r="I22">
            <v>0</v>
          </cell>
          <cell r="J22">
            <v>0</v>
          </cell>
          <cell r="K22">
            <v>0</v>
          </cell>
          <cell r="L22">
            <v>0</v>
          </cell>
          <cell r="N22">
            <v>0</v>
          </cell>
          <cell r="O22">
            <v>118476.67648133512</v>
          </cell>
          <cell r="P22">
            <v>0</v>
          </cell>
          <cell r="U22">
            <v>0</v>
          </cell>
          <cell r="V22">
            <v>0</v>
          </cell>
          <cell r="AD22">
            <v>110880.30097680372</v>
          </cell>
          <cell r="AE22">
            <v>0</v>
          </cell>
          <cell r="AF22">
            <v>0</v>
          </cell>
          <cell r="AG22">
            <v>0</v>
          </cell>
          <cell r="AH22">
            <v>0</v>
          </cell>
          <cell r="AJ22">
            <v>0</v>
          </cell>
          <cell r="AK22">
            <v>110880.30097680372</v>
          </cell>
          <cell r="AL22">
            <v>0</v>
          </cell>
          <cell r="AQ22">
            <v>0</v>
          </cell>
          <cell r="AR22">
            <v>0</v>
          </cell>
        </row>
        <row r="23">
          <cell r="H23">
            <v>221578.64932257248</v>
          </cell>
          <cell r="I23">
            <v>193060.89379746799</v>
          </cell>
          <cell r="J23">
            <v>13951.749722207953</v>
          </cell>
          <cell r="K23">
            <v>1581.4647382261169</v>
          </cell>
          <cell r="L23">
            <v>5890.148194708011</v>
          </cell>
          <cell r="N23">
            <v>6932.8815316246219</v>
          </cell>
          <cell r="O23">
            <v>0</v>
          </cell>
          <cell r="P23">
            <v>0</v>
          </cell>
          <cell r="U23">
            <v>153.67541178203808</v>
          </cell>
          <cell r="V23">
            <v>7.8359393383934162</v>
          </cell>
          <cell r="AD23">
            <v>207266.8724862533</v>
          </cell>
          <cell r="AE23">
            <v>171951.77270969999</v>
          </cell>
          <cell r="AF23">
            <v>13470.48238438587</v>
          </cell>
          <cell r="AG23">
            <v>1311.4992677613534</v>
          </cell>
          <cell r="AH23">
            <v>13917.17472725138</v>
          </cell>
          <cell r="AJ23">
            <v>5323.7409695397319</v>
          </cell>
          <cell r="AK23">
            <v>0</v>
          </cell>
          <cell r="AL23">
            <v>0</v>
          </cell>
          <cell r="AQ23">
            <v>1165.641932257055</v>
          </cell>
          <cell r="AR23">
            <v>126.56049535790756</v>
          </cell>
        </row>
        <row r="25">
          <cell r="H25">
            <v>3791019.123102413</v>
          </cell>
          <cell r="I25">
            <v>2417194.4897487205</v>
          </cell>
          <cell r="J25">
            <v>209000.77532449074</v>
          </cell>
          <cell r="K25">
            <v>13142.792488866082</v>
          </cell>
          <cell r="L25">
            <v>875604.80511614867</v>
          </cell>
          <cell r="N25">
            <v>23722.324326467548</v>
          </cell>
          <cell r="O25">
            <v>118476.67648133512</v>
          </cell>
          <cell r="P25">
            <v>5287.9994654113689</v>
          </cell>
          <cell r="U25">
            <v>118217.78433991181</v>
          </cell>
          <cell r="V25">
            <v>10371.475823843162</v>
          </cell>
        </row>
      </sheetData>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Tie-Out Check"/>
      <sheetName val="MFR E-6"/>
      <sheetName val="Check to UI"/>
      <sheetName val="Income Tie-Out"/>
      <sheetName val="MFR A-1"/>
      <sheetName val="MFR C-44"/>
      <sheetName val="REG FL Working Capital 7 Logic"/>
    </sheetNames>
    <sheetDataSet>
      <sheetData sheetId="0"/>
      <sheetData sheetId="1">
        <row r="43">
          <cell r="H43">
            <v>3469181.8224585853</v>
          </cell>
          <cell r="I43">
            <v>2200619.7765434608</v>
          </cell>
          <cell r="J43">
            <v>202529.80758574733</v>
          </cell>
          <cell r="K43">
            <v>11861.50078490952</v>
          </cell>
          <cell r="L43">
            <v>805740.07767721289</v>
          </cell>
          <cell r="M43">
            <v>9687.3400443817372</v>
          </cell>
          <cell r="N43">
            <v>106148.87916099699</v>
          </cell>
          <cell r="O43">
            <v>19778.17204328757</v>
          </cell>
          <cell r="P43">
            <v>106876.55068045307</v>
          </cell>
          <cell r="Q43">
            <v>5939.7207401960723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H12">
            <v>1355003.9438274894</v>
          </cell>
          <cell r="I12">
            <v>836809.78558954236</v>
          </cell>
          <cell r="J12">
            <v>73807.064820283325</v>
          </cell>
          <cell r="K12">
            <v>4742.5138033962112</v>
          </cell>
          <cell r="L12">
            <v>376284.59520089376</v>
          </cell>
          <cell r="N12">
            <v>1314.3538255126643</v>
          </cell>
          <cell r="O12">
            <v>0</v>
          </cell>
          <cell r="P12">
            <v>0</v>
          </cell>
          <cell r="U12">
            <v>57872.218440872064</v>
          </cell>
          <cell r="V12">
            <v>4173.4121469886668</v>
          </cell>
          <cell r="AD12">
            <v>1307509.3685934129</v>
          </cell>
          <cell r="AE12">
            <v>807478.57227851229</v>
          </cell>
          <cell r="AF12">
            <v>71220.035307283179</v>
          </cell>
          <cell r="AG12">
            <v>4576.2827900769435</v>
          </cell>
          <cell r="AH12">
            <v>363095.35165839066</v>
          </cell>
          <cell r="AJ12">
            <v>1268.2840875356103</v>
          </cell>
          <cell r="AK12">
            <v>0</v>
          </cell>
          <cell r="AL12">
            <v>0</v>
          </cell>
          <cell r="AQ12">
            <v>55843.725132624648</v>
          </cell>
          <cell r="AR12">
            <v>4027.1288552677106</v>
          </cell>
        </row>
        <row r="13">
          <cell r="H13">
            <v>242346.76109518667</v>
          </cell>
          <cell r="I13">
            <v>127465.27095442278</v>
          </cell>
          <cell r="J13">
            <v>13509.150017237143</v>
          </cell>
          <cell r="K13">
            <v>1279.0746722753502</v>
          </cell>
          <cell r="L13">
            <v>81056.306265180698</v>
          </cell>
          <cell r="N13">
            <v>2045.4286811370559</v>
          </cell>
          <cell r="O13">
            <v>0</v>
          </cell>
          <cell r="P13">
            <v>0</v>
          </cell>
          <cell r="U13">
            <v>15733.298592019362</v>
          </cell>
          <cell r="V13">
            <v>1258.231912914272</v>
          </cell>
          <cell r="AD13">
            <v>230681.35651887424</v>
          </cell>
          <cell r="AE13">
            <v>141107.17301271475</v>
          </cell>
          <cell r="AF13">
            <v>17737.090440442611</v>
          </cell>
          <cell r="AG13">
            <v>1032.8145073322787</v>
          </cell>
          <cell r="AH13">
            <v>58555.475930930945</v>
          </cell>
          <cell r="AJ13">
            <v>2563.1311750078885</v>
          </cell>
          <cell r="AK13">
            <v>0</v>
          </cell>
          <cell r="AL13">
            <v>0</v>
          </cell>
          <cell r="AQ13">
            <v>8657.5950432412756</v>
          </cell>
          <cell r="AR13">
            <v>1028.0757877674198</v>
          </cell>
        </row>
        <row r="14">
          <cell r="H14">
            <v>558856.08935883781</v>
          </cell>
          <cell r="I14">
            <v>349405.27873608854</v>
          </cell>
          <cell r="J14">
            <v>30378.820712027828</v>
          </cell>
          <cell r="K14">
            <v>1870.9686760561287</v>
          </cell>
          <cell r="L14">
            <v>152547.81550719484</v>
          </cell>
          <cell r="N14">
            <v>195.36219107413393</v>
          </cell>
          <cell r="O14">
            <v>0</v>
          </cell>
          <cell r="P14">
            <v>0</v>
          </cell>
          <cell r="U14">
            <v>22834.834564395889</v>
          </cell>
          <cell r="V14">
            <v>1623.0089720004969</v>
          </cell>
          <cell r="AD14">
            <v>522484.11793794314</v>
          </cell>
          <cell r="AE14">
            <v>330889.11766409688</v>
          </cell>
          <cell r="AF14">
            <v>30046.217981484348</v>
          </cell>
          <cell r="AG14">
            <v>1733.419705488617</v>
          </cell>
          <cell r="AH14">
            <v>137905.60085199634</v>
          </cell>
          <cell r="AJ14">
            <v>574.37758172847293</v>
          </cell>
          <cell r="AK14">
            <v>0</v>
          </cell>
          <cell r="AL14">
            <v>0</v>
          </cell>
          <cell r="AQ14">
            <v>19820.811053051526</v>
          </cell>
          <cell r="AR14">
            <v>1514.5731000971412</v>
          </cell>
        </row>
        <row r="15">
          <cell r="H15">
            <v>731005.84894820105</v>
          </cell>
          <cell r="I15">
            <v>466719.24125742487</v>
          </cell>
          <cell r="J15">
            <v>43258.029975498248</v>
          </cell>
          <cell r="K15">
            <v>1979.6451872631983</v>
          </cell>
          <cell r="L15">
            <v>191731.41902023813</v>
          </cell>
          <cell r="N15">
            <v>6614.7180554336592</v>
          </cell>
          <cell r="O15">
            <v>0</v>
          </cell>
          <cell r="P15">
            <v>0</v>
          </cell>
          <cell r="U15">
            <v>17602.146363858319</v>
          </cell>
          <cell r="V15">
            <v>3100.6490884845266</v>
          </cell>
          <cell r="AD15">
            <v>683349.39706557582</v>
          </cell>
          <cell r="AE15">
            <v>439991.58701873006</v>
          </cell>
          <cell r="AF15">
            <v>41924.859070230195</v>
          </cell>
          <cell r="AG15">
            <v>1917.9956967866251</v>
          </cell>
          <cell r="AH15">
            <v>174539.18288557624</v>
          </cell>
          <cell r="AJ15">
            <v>5498.4242583703772</v>
          </cell>
          <cell r="AK15">
            <v>0</v>
          </cell>
          <cell r="AL15">
            <v>0</v>
          </cell>
          <cell r="AQ15">
            <v>16766.564355391685</v>
          </cell>
          <cell r="AR15">
            <v>2710.7837804904989</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291346.15856231761</v>
          </cell>
          <cell r="I17">
            <v>222192.70964599442</v>
          </cell>
          <cell r="J17">
            <v>18936.476411195647</v>
          </cell>
          <cell r="K17">
            <v>383.22355546064</v>
          </cell>
          <cell r="L17">
            <v>42217.692168035421</v>
          </cell>
          <cell r="N17">
            <v>1280.4899523825402</v>
          </cell>
          <cell r="O17">
            <v>0</v>
          </cell>
          <cell r="P17">
            <v>5042.7644734781979</v>
          </cell>
          <cell r="U17">
            <v>1292.8023557708339</v>
          </cell>
          <cell r="V17">
            <v>0</v>
          </cell>
          <cell r="AD17">
            <v>276970.59715665132</v>
          </cell>
          <cell r="AE17">
            <v>203996.11935046516</v>
          </cell>
          <cell r="AF17">
            <v>18146.314561317216</v>
          </cell>
          <cell r="AG17">
            <v>469.30928009782764</v>
          </cell>
          <cell r="AH17">
            <v>44590.566515241859</v>
          </cell>
          <cell r="AJ17">
            <v>1189.1683315566911</v>
          </cell>
          <cell r="AK17">
            <v>0</v>
          </cell>
          <cell r="AL17">
            <v>5939.7207401960723</v>
          </cell>
          <cell r="AQ17">
            <v>2474.5427434145627</v>
          </cell>
          <cell r="AR17">
            <v>164.85563436196179</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53606.294519859846</v>
          </cell>
          <cell r="I19">
            <v>46841.563352664016</v>
          </cell>
          <cell r="J19">
            <v>3421.3794201833794</v>
          </cell>
          <cell r="K19">
            <v>386.69582745303467</v>
          </cell>
          <cell r="L19">
            <v>1262.7774471685639</v>
          </cell>
          <cell r="N19">
            <v>1692.1029323335154</v>
          </cell>
          <cell r="O19">
            <v>0</v>
          </cell>
          <cell r="P19">
            <v>0</v>
          </cell>
          <cell r="U19">
            <v>1.7609900492970534</v>
          </cell>
          <cell r="V19">
            <v>1.4550008048726939E-2</v>
          </cell>
          <cell r="AD19">
            <v>57053.776071507265</v>
          </cell>
          <cell r="AE19">
            <v>46303.000258296684</v>
          </cell>
          <cell r="AF19">
            <v>3746.2872991862264</v>
          </cell>
          <cell r="AG19">
            <v>343.16156106412643</v>
          </cell>
          <cell r="AH19">
            <v>4829.624296678714</v>
          </cell>
          <cell r="AJ19">
            <v>1332.5808556756976</v>
          </cell>
          <cell r="AK19">
            <v>0</v>
          </cell>
          <cell r="AL19">
            <v>0</v>
          </cell>
          <cell r="AQ19">
            <v>450.09544611393699</v>
          </cell>
          <cell r="AR19">
            <v>49.026354491875345</v>
          </cell>
        </row>
        <row r="20">
          <cell r="H20">
            <v>87236.297121433541</v>
          </cell>
          <cell r="I20">
            <v>70365.590272804911</v>
          </cell>
          <cell r="J20">
            <v>7182.3046642407344</v>
          </cell>
          <cell r="K20">
            <v>612.17366733372398</v>
          </cell>
          <cell r="L20">
            <v>6030.9498514394645</v>
          </cell>
          <cell r="N20">
            <v>2858.3917072961276</v>
          </cell>
          <cell r="O20">
            <v>0</v>
          </cell>
          <cell r="P20">
            <v>0</v>
          </cell>
          <cell r="U20">
            <v>165.41237187756585</v>
          </cell>
          <cell r="V20">
            <v>21.474586441013884</v>
          </cell>
          <cell r="AD20">
            <v>82563.273076879836</v>
          </cell>
          <cell r="AE20">
            <v>64133.007674971734</v>
          </cell>
          <cell r="AF20">
            <v>6582.2096906326733</v>
          </cell>
          <cell r="AG20">
            <v>512.78087376492738</v>
          </cell>
          <cell r="AH20">
            <v>8481.2660826267529</v>
          </cell>
          <cell r="AJ20">
            <v>2204.9143347967101</v>
          </cell>
          <cell r="AK20">
            <v>0</v>
          </cell>
          <cell r="AL20">
            <v>0</v>
          </cell>
          <cell r="AQ20">
            <v>582.88738555052294</v>
          </cell>
          <cell r="AR20">
            <v>66.207034536531808</v>
          </cell>
        </row>
        <row r="21">
          <cell r="H21">
            <v>517.35985000143512</v>
          </cell>
          <cell r="I21">
            <v>0</v>
          </cell>
          <cell r="J21">
            <v>0</v>
          </cell>
          <cell r="K21">
            <v>0</v>
          </cell>
          <cell r="L21">
            <v>0</v>
          </cell>
          <cell r="N21">
            <v>0</v>
          </cell>
          <cell r="O21">
            <v>0</v>
          </cell>
          <cell r="P21">
            <v>0</v>
          </cell>
          <cell r="U21">
            <v>517.35985000143523</v>
          </cell>
          <cell r="V21">
            <v>0</v>
          </cell>
          <cell r="AD21">
            <v>487.76144981702879</v>
          </cell>
          <cell r="AE21">
            <v>67.549799360400897</v>
          </cell>
          <cell r="AF21">
            <v>7.1049248860037864</v>
          </cell>
          <cell r="AG21">
            <v>0.32467605027920315</v>
          </cell>
          <cell r="AH21">
            <v>23.166785318820011</v>
          </cell>
          <cell r="AJ21">
            <v>0.41329041313833742</v>
          </cell>
          <cell r="AK21">
            <v>0</v>
          </cell>
          <cell r="AL21">
            <v>0</v>
          </cell>
          <cell r="AQ21">
            <v>388.90983042752725</v>
          </cell>
          <cell r="AR21">
            <v>0.29214336085933085</v>
          </cell>
        </row>
        <row r="22">
          <cell r="H22">
            <v>113088.54627737855</v>
          </cell>
          <cell r="I22">
            <v>0</v>
          </cell>
          <cell r="J22">
            <v>0</v>
          </cell>
          <cell r="K22">
            <v>0</v>
          </cell>
          <cell r="L22">
            <v>0</v>
          </cell>
          <cell r="N22">
            <v>0</v>
          </cell>
          <cell r="O22">
            <v>113088.54627737855</v>
          </cell>
          <cell r="P22">
            <v>0</v>
          </cell>
          <cell r="U22">
            <v>0</v>
          </cell>
          <cell r="V22">
            <v>0</v>
          </cell>
          <cell r="AD22">
            <v>106876.55068045307</v>
          </cell>
          <cell r="AE22">
            <v>0</v>
          </cell>
          <cell r="AF22">
            <v>0</v>
          </cell>
          <cell r="AG22">
            <v>0</v>
          </cell>
          <cell r="AH22">
            <v>0</v>
          </cell>
          <cell r="AJ22">
            <v>0</v>
          </cell>
          <cell r="AK22">
            <v>106876.55068045307</v>
          </cell>
          <cell r="AL22">
            <v>0</v>
          </cell>
          <cell r="AQ22">
            <v>0</v>
          </cell>
          <cell r="AR22">
            <v>0</v>
          </cell>
        </row>
        <row r="23">
          <cell r="H23">
            <v>212991.91343977477</v>
          </cell>
          <cell r="I23">
            <v>185511.44420547789</v>
          </cell>
          <cell r="J23">
            <v>13490.77698593716</v>
          </cell>
          <cell r="K23">
            <v>1532.205319782181</v>
          </cell>
          <cell r="L23">
            <v>5623.8300301643667</v>
          </cell>
          <cell r="N23">
            <v>6690.9121462185794</v>
          </cell>
          <cell r="O23">
            <v>0</v>
          </cell>
          <cell r="P23">
            <v>0</v>
          </cell>
          <cell r="U23">
            <v>136.0467736696759</v>
          </cell>
          <cell r="V23">
            <v>6.697990165724133</v>
          </cell>
          <cell r="AD23">
            <v>201205.62733096903</v>
          </cell>
          <cell r="AE23">
            <v>166653.66100259178</v>
          </cell>
          <cell r="AF23">
            <v>13119.688310284901</v>
          </cell>
          <cell r="AG23">
            <v>1275.411694247894</v>
          </cell>
          <cell r="AH23">
            <v>13719.842670452435</v>
          </cell>
          <cell r="AJ23">
            <v>5146.8781282029831</v>
          </cell>
          <cell r="AK23">
            <v>0</v>
          </cell>
          <cell r="AL23">
            <v>0</v>
          </cell>
          <cell r="AQ23">
            <v>1163.7481711812902</v>
          </cell>
          <cell r="AR23">
            <v>126.39735400773928</v>
          </cell>
        </row>
        <row r="25">
          <cell r="H25">
            <v>3645999.213000481</v>
          </cell>
          <cell r="I25">
            <v>2305310.8840144197</v>
          </cell>
          <cell r="J25">
            <v>203984.00300660345</v>
          </cell>
          <cell r="K25">
            <v>12786.500709020467</v>
          </cell>
          <cell r="L25">
            <v>856755.38549031527</v>
          </cell>
          <cell r="N25">
            <v>22691.759491388275</v>
          </cell>
          <cell r="O25">
            <v>113088.54627737855</v>
          </cell>
          <cell r="P25">
            <v>5042.7644734781979</v>
          </cell>
          <cell r="U25">
            <v>116155.88030251444</v>
          </cell>
          <cell r="V25">
            <v>10183.48924700275</v>
          </cell>
        </row>
      </sheetData>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Class COSS"/>
      <sheetName val="1-Summary (present rev)"/>
      <sheetName val="2-Summary (rev at COS)"/>
      <sheetName val="3-Alloc"/>
      <sheetName val="Juris Sep Study TOC"/>
      <sheetName val="1-Juris Sep Study"/>
      <sheetName val="2-EPIS"/>
      <sheetName val="3-AD"/>
      <sheetName val="4-CWIP"/>
      <sheetName val="5-PHFU"/>
      <sheetName val="6-WC"/>
      <sheetName val="7-Class Rev"/>
      <sheetName val="8-Rev Credits"/>
      <sheetName val="9-O&amp;M"/>
      <sheetName val="10-Depr Exp"/>
      <sheetName val="11-Oth Tax"/>
      <sheetName val="12-Inc Tax"/>
      <sheetName val="13-WACC"/>
      <sheetName val="Instructions &amp; Inputs"/>
      <sheetName val="&gt;&gt;Checks &amp; Analyses&gt;&gt;"/>
      <sheetName val="Tie-Out Check"/>
      <sheetName val="MFR E-6"/>
      <sheetName val="Check to UI"/>
      <sheetName val="Income Tie-Out"/>
      <sheetName val="MFR A-1"/>
      <sheetName val="MFR C-44"/>
      <sheetName val="REG FL Working Capital 7 Logic"/>
    </sheetNames>
    <sheetDataSet>
      <sheetData sheetId="0"/>
      <sheetData sheetId="1">
        <row r="43">
          <cell r="H43">
            <v>3359765.9320484721</v>
          </cell>
          <cell r="I43">
            <v>2136817.2897654371</v>
          </cell>
          <cell r="J43">
            <v>195835.42534473335</v>
          </cell>
          <cell r="K43">
            <v>11506.590271240811</v>
          </cell>
          <cell r="L43">
            <v>776910.96991675324</v>
          </cell>
          <cell r="M43">
            <v>9264.1703806879759</v>
          </cell>
          <cell r="N43">
            <v>101733.74393733128</v>
          </cell>
          <cell r="O43">
            <v>19150.947270913439</v>
          </cell>
          <cell r="P43">
            <v>103604.37724549197</v>
          </cell>
          <cell r="Q43">
            <v>4942.4207110416974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H12">
            <v>1314075.2231885435</v>
          </cell>
          <cell r="I12">
            <v>814306.13430547656</v>
          </cell>
          <cell r="J12">
            <v>71262.29935351474</v>
          </cell>
          <cell r="K12">
            <v>4599.2632811599024</v>
          </cell>
          <cell r="L12">
            <v>363197.2509370817</v>
          </cell>
          <cell r="N12">
            <v>1274.6529664928876</v>
          </cell>
          <cell r="O12">
            <v>0</v>
          </cell>
          <cell r="P12">
            <v>0</v>
          </cell>
          <cell r="U12">
            <v>55440.833666324652</v>
          </cell>
          <cell r="V12">
            <v>3994.7886784931716</v>
          </cell>
          <cell r="AD12">
            <v>1269822.4924545966</v>
          </cell>
          <cell r="AE12">
            <v>786883.61363129388</v>
          </cell>
          <cell r="AF12">
            <v>68862.473765812785</v>
          </cell>
          <cell r="AG12">
            <v>4444.3787235910877</v>
          </cell>
          <cell r="AH12">
            <v>350966.23868952604</v>
          </cell>
          <cell r="AJ12">
            <v>1231.7278176809587</v>
          </cell>
          <cell r="AK12">
            <v>0</v>
          </cell>
          <cell r="AL12">
            <v>0</v>
          </cell>
          <cell r="AQ12">
            <v>3860.2603770619726</v>
          </cell>
          <cell r="AR12">
            <v>53573.810956659421</v>
          </cell>
        </row>
        <row r="13">
          <cell r="H13">
            <v>241155.83006869955</v>
          </cell>
          <cell r="I13">
            <v>127394.40520849018</v>
          </cell>
          <cell r="J13">
            <v>13398.76496231043</v>
          </cell>
          <cell r="K13">
            <v>1271.0890758146486</v>
          </cell>
          <cell r="L13">
            <v>80351.089598407532</v>
          </cell>
          <cell r="N13">
            <v>2034.0720567897558</v>
          </cell>
          <cell r="O13">
            <v>0</v>
          </cell>
          <cell r="P13">
            <v>0</v>
          </cell>
          <cell r="U13">
            <v>15471.033541262979</v>
          </cell>
          <cell r="V13">
            <v>1235.3756256240551</v>
          </cell>
          <cell r="AD13">
            <v>231493.0261478516</v>
          </cell>
          <cell r="AE13">
            <v>141799.26290611195</v>
          </cell>
          <cell r="AF13">
            <v>17793.604471052364</v>
          </cell>
          <cell r="AG13">
            <v>1031.9855199065421</v>
          </cell>
          <cell r="AH13">
            <v>58692.782195936197</v>
          </cell>
          <cell r="AJ13">
            <v>2557.0722942835719</v>
          </cell>
          <cell r="AK13">
            <v>0</v>
          </cell>
          <cell r="AL13">
            <v>0</v>
          </cell>
          <cell r="AQ13">
            <v>1018.2134566320535</v>
          </cell>
          <cell r="AR13">
            <v>8600.1046566753084</v>
          </cell>
        </row>
        <row r="14">
          <cell r="H14">
            <v>528886.55060506088</v>
          </cell>
          <cell r="I14">
            <v>331778.28623341559</v>
          </cell>
          <cell r="J14">
            <v>28619.602216623389</v>
          </cell>
          <cell r="K14">
            <v>1770.9445705614373</v>
          </cell>
          <cell r="L14">
            <v>143674.1014855887</v>
          </cell>
          <cell r="N14">
            <v>184.91790696625452</v>
          </cell>
          <cell r="O14">
            <v>0</v>
          </cell>
          <cell r="P14">
            <v>0</v>
          </cell>
          <cell r="U14">
            <v>21343.793800220377</v>
          </cell>
          <cell r="V14">
            <v>1514.9043916850851</v>
          </cell>
          <cell r="AD14">
            <v>498342.7884708927</v>
          </cell>
          <cell r="AE14">
            <v>316635.79488538415</v>
          </cell>
          <cell r="AF14">
            <v>28602.787963931143</v>
          </cell>
          <cell r="AG14">
            <v>1652.839298212207</v>
          </cell>
          <cell r="AH14">
            <v>130827.97194638799</v>
          </cell>
          <cell r="AJ14">
            <v>559.51706753382757</v>
          </cell>
          <cell r="AK14">
            <v>0</v>
          </cell>
          <cell r="AL14">
            <v>0</v>
          </cell>
          <cell r="AQ14">
            <v>1425.9549085667697</v>
          </cell>
          <cell r="AR14">
            <v>18637.922400876603</v>
          </cell>
        </row>
        <row r="15">
          <cell r="H15">
            <v>695677.19325730891</v>
          </cell>
          <cell r="I15">
            <v>445672.34061379294</v>
          </cell>
          <cell r="J15">
            <v>40995.195603751345</v>
          </cell>
          <cell r="K15">
            <v>1884.4016439605107</v>
          </cell>
          <cell r="L15">
            <v>181394.46989594158</v>
          </cell>
          <cell r="N15">
            <v>6288.9066912898943</v>
          </cell>
          <cell r="O15">
            <v>0</v>
          </cell>
          <cell r="P15">
            <v>0</v>
          </cell>
          <cell r="U15">
            <v>16535.813622705678</v>
          </cell>
          <cell r="V15">
            <v>2906.0651858668102</v>
          </cell>
          <cell r="AD15">
            <v>655334.03194766282</v>
          </cell>
          <cell r="AE15">
            <v>423295.27931412414</v>
          </cell>
          <cell r="AF15">
            <v>40112.324572277161</v>
          </cell>
          <cell r="AG15">
            <v>1841.3098109704915</v>
          </cell>
          <cell r="AH15">
            <v>166382.54283940559</v>
          </cell>
          <cell r="AJ15">
            <v>5248.6841013732892</v>
          </cell>
          <cell r="AK15">
            <v>0</v>
          </cell>
          <cell r="AL15">
            <v>0</v>
          </cell>
          <cell r="AQ15">
            <v>2557.082543641644</v>
          </cell>
          <cell r="AR15">
            <v>15896.808765870395</v>
          </cell>
        </row>
        <row r="16">
          <cell r="H16">
            <v>0</v>
          </cell>
          <cell r="I16">
            <v>0</v>
          </cell>
          <cell r="J16">
            <v>0</v>
          </cell>
          <cell r="K16">
            <v>0</v>
          </cell>
          <cell r="L16">
            <v>0</v>
          </cell>
          <cell r="N16">
            <v>0</v>
          </cell>
          <cell r="O16">
            <v>0</v>
          </cell>
          <cell r="P16">
            <v>0</v>
          </cell>
          <cell r="U16">
            <v>0</v>
          </cell>
          <cell r="V16">
            <v>0</v>
          </cell>
          <cell r="AD16">
            <v>0</v>
          </cell>
          <cell r="AE16">
            <v>0</v>
          </cell>
          <cell r="AF16">
            <v>0</v>
          </cell>
          <cell r="AG16">
            <v>0</v>
          </cell>
          <cell r="AH16">
            <v>0</v>
          </cell>
          <cell r="AJ16">
            <v>0</v>
          </cell>
          <cell r="AK16">
            <v>0</v>
          </cell>
          <cell r="AL16">
            <v>0</v>
          </cell>
          <cell r="AQ16">
            <v>0</v>
          </cell>
          <cell r="AR16">
            <v>0</v>
          </cell>
        </row>
        <row r="17">
          <cell r="H17">
            <v>281799.69389480271</v>
          </cell>
          <cell r="I17">
            <v>215526.06757914569</v>
          </cell>
          <cell r="J17">
            <v>18229.609389246245</v>
          </cell>
          <cell r="K17">
            <v>370.54471329978088</v>
          </cell>
          <cell r="L17">
            <v>40627.474770270353</v>
          </cell>
          <cell r="N17">
            <v>1236.637175711317</v>
          </cell>
          <cell r="O17">
            <v>0</v>
          </cell>
          <cell r="P17">
            <v>4574.2112227967818</v>
          </cell>
          <cell r="U17">
            <v>1235.1490443326031</v>
          </cell>
          <cell r="V17">
            <v>0</v>
          </cell>
          <cell r="AD17">
            <v>269421.87932433875</v>
          </cell>
          <cell r="AE17">
            <v>199214.9527650059</v>
          </cell>
          <cell r="AF17">
            <v>17630.847055459675</v>
          </cell>
          <cell r="AG17">
            <v>460.42405361279981</v>
          </cell>
          <cell r="AH17">
            <v>43427.313409784976</v>
          </cell>
          <cell r="AJ17">
            <v>1157.4221706745363</v>
          </cell>
          <cell r="AK17">
            <v>0</v>
          </cell>
          <cell r="AL17">
            <v>4942.4207110416974</v>
          </cell>
          <cell r="AQ17">
            <v>163.93437310803006</v>
          </cell>
          <cell r="AR17">
            <v>2424.5647856511446</v>
          </cell>
        </row>
        <row r="18">
          <cell r="H18">
            <v>0</v>
          </cell>
          <cell r="I18">
            <v>0</v>
          </cell>
          <cell r="J18">
            <v>0</v>
          </cell>
          <cell r="K18">
            <v>0</v>
          </cell>
          <cell r="L18">
            <v>0</v>
          </cell>
          <cell r="N18">
            <v>0</v>
          </cell>
          <cell r="O18">
            <v>0</v>
          </cell>
          <cell r="P18">
            <v>0</v>
          </cell>
          <cell r="U18">
            <v>0</v>
          </cell>
          <cell r="V18">
            <v>0</v>
          </cell>
          <cell r="AD18">
            <v>0</v>
          </cell>
          <cell r="AE18">
            <v>0</v>
          </cell>
          <cell r="AF18">
            <v>0</v>
          </cell>
          <cell r="AG18">
            <v>0</v>
          </cell>
          <cell r="AH18">
            <v>0</v>
          </cell>
          <cell r="AJ18">
            <v>0</v>
          </cell>
          <cell r="AK18">
            <v>0</v>
          </cell>
          <cell r="AL18">
            <v>0</v>
          </cell>
          <cell r="AQ18">
            <v>0</v>
          </cell>
          <cell r="AR18">
            <v>0</v>
          </cell>
        </row>
        <row r="19">
          <cell r="H19">
            <v>51301.750921191524</v>
          </cell>
          <cell r="I19">
            <v>44799.265679791941</v>
          </cell>
          <cell r="J19">
            <v>3290.1380689711668</v>
          </cell>
          <cell r="K19">
            <v>372.63224812172058</v>
          </cell>
          <cell r="L19">
            <v>1214.6134881772564</v>
          </cell>
          <cell r="N19">
            <v>1623.3755941822219</v>
          </cell>
          <cell r="O19">
            <v>0</v>
          </cell>
          <cell r="P19">
            <v>0</v>
          </cell>
          <cell r="U19">
            <v>1.7117648867597179</v>
          </cell>
          <cell r="V19">
            <v>1.407706045745878E-2</v>
          </cell>
          <cell r="AD19">
            <v>55397.266454084885</v>
          </cell>
          <cell r="AE19">
            <v>44834.439963808567</v>
          </cell>
          <cell r="AF19">
            <v>3651.7287396489201</v>
          </cell>
          <cell r="AG19">
            <v>332.82480193854127</v>
          </cell>
          <cell r="AH19">
            <v>4800.0615594875135</v>
          </cell>
          <cell r="AJ19">
            <v>1281.5545869234384</v>
          </cell>
          <cell r="AK19">
            <v>0</v>
          </cell>
          <cell r="AL19">
            <v>0</v>
          </cell>
          <cell r="AQ19">
            <v>48.743088621542604</v>
          </cell>
          <cell r="AR19">
            <v>447.91371365637758</v>
          </cell>
        </row>
        <row r="20">
          <cell r="H20">
            <v>81063.294065531823</v>
          </cell>
          <cell r="I20">
            <v>65318.507516224214</v>
          </cell>
          <cell r="J20">
            <v>6703.6774764246802</v>
          </cell>
          <cell r="K20">
            <v>572.56131127594881</v>
          </cell>
          <cell r="L20">
            <v>5630.5478303005993</v>
          </cell>
          <cell r="N20">
            <v>2661.64653729574</v>
          </cell>
          <cell r="O20">
            <v>0</v>
          </cell>
          <cell r="P20">
            <v>0</v>
          </cell>
          <cell r="U20">
            <v>156.13934058826388</v>
          </cell>
          <cell r="V20">
            <v>20.214053422397484</v>
          </cell>
          <cell r="AD20">
            <v>77224.390619765414</v>
          </cell>
          <cell r="AE20">
            <v>59892.383908226737</v>
          </cell>
          <cell r="AF20">
            <v>6172.7432589331929</v>
          </cell>
          <cell r="AG20">
            <v>480.83127285646998</v>
          </cell>
          <cell r="AH20">
            <v>8007.6635526051468</v>
          </cell>
          <cell r="AJ20">
            <v>2055.0821422046415</v>
          </cell>
          <cell r="AK20">
            <v>0</v>
          </cell>
          <cell r="AL20">
            <v>0</v>
          </cell>
          <cell r="AQ20">
            <v>62.707938053205602</v>
          </cell>
          <cell r="AR20">
            <v>552.97854688603229</v>
          </cell>
        </row>
        <row r="21">
          <cell r="H21">
            <v>571.60248360155356</v>
          </cell>
          <cell r="I21">
            <v>0</v>
          </cell>
          <cell r="J21">
            <v>0</v>
          </cell>
          <cell r="K21">
            <v>0</v>
          </cell>
          <cell r="L21">
            <v>0</v>
          </cell>
          <cell r="N21">
            <v>0</v>
          </cell>
          <cell r="O21">
            <v>0</v>
          </cell>
          <cell r="P21">
            <v>0</v>
          </cell>
          <cell r="U21">
            <v>571.60248360155356</v>
          </cell>
          <cell r="V21">
            <v>0</v>
          </cell>
          <cell r="AD21">
            <v>539.22071878817997</v>
          </cell>
          <cell r="AE21">
            <v>74.93417493716386</v>
          </cell>
          <cell r="AF21">
            <v>7.8652830370664377</v>
          </cell>
          <cell r="AG21">
            <v>0.35946275395019422</v>
          </cell>
          <cell r="AH21">
            <v>25.614766182248008</v>
          </cell>
          <cell r="AJ21">
            <v>0.45806753961360031</v>
          </cell>
          <cell r="AK21">
            <v>0</v>
          </cell>
          <cell r="AL21">
            <v>0</v>
          </cell>
          <cell r="AQ21">
            <v>0.32062164140477883</v>
          </cell>
          <cell r="AR21">
            <v>429.66834269673302</v>
          </cell>
        </row>
        <row r="22">
          <cell r="H22">
            <v>108686.38194502472</v>
          </cell>
          <cell r="I22">
            <v>0</v>
          </cell>
          <cell r="J22">
            <v>0</v>
          </cell>
          <cell r="K22">
            <v>0</v>
          </cell>
          <cell r="L22">
            <v>0</v>
          </cell>
          <cell r="N22">
            <v>0</v>
          </cell>
          <cell r="O22">
            <v>108686.38194502472</v>
          </cell>
          <cell r="P22">
            <v>0</v>
          </cell>
          <cell r="U22">
            <v>0</v>
          </cell>
          <cell r="V22">
            <v>0</v>
          </cell>
          <cell r="AD22">
            <v>103604.37724549197</v>
          </cell>
          <cell r="AE22">
            <v>0</v>
          </cell>
          <cell r="AF22">
            <v>0</v>
          </cell>
          <cell r="AG22">
            <v>0</v>
          </cell>
          <cell r="AH22">
            <v>0</v>
          </cell>
          <cell r="AJ22">
            <v>0</v>
          </cell>
          <cell r="AK22">
            <v>103604.37724549197</v>
          </cell>
          <cell r="AL22">
            <v>0</v>
          </cell>
          <cell r="AQ22">
            <v>0</v>
          </cell>
          <cell r="AR22">
            <v>0</v>
          </cell>
        </row>
        <row r="23">
          <cell r="H23">
            <v>208204.78433769639</v>
          </cell>
          <cell r="I23">
            <v>181329.5310897913</v>
          </cell>
          <cell r="J23">
            <v>13259.407967978179</v>
          </cell>
          <cell r="K23">
            <v>1509.3835590714721</v>
          </cell>
          <cell r="L23">
            <v>5420.4754789947719</v>
          </cell>
          <cell r="N23">
            <v>6565.0701775241223</v>
          </cell>
          <cell r="O23">
            <v>0</v>
          </cell>
          <cell r="P23">
            <v>0</v>
          </cell>
          <cell r="U23">
            <v>115.67729699683177</v>
          </cell>
          <cell r="V23">
            <v>5.2387779114975661</v>
          </cell>
          <cell r="AD23">
            <v>198586.46210741164</v>
          </cell>
          <cell r="AE23">
            <v>164186.63972357428</v>
          </cell>
          <cell r="AF23">
            <v>13001.050234581051</v>
          </cell>
          <cell r="AG23">
            <v>1261.6373273987222</v>
          </cell>
          <cell r="AH23">
            <v>13780.780957437475</v>
          </cell>
          <cell r="AJ23">
            <v>5059.429022699559</v>
          </cell>
          <cell r="AK23">
            <v>0</v>
          </cell>
          <cell r="AL23">
            <v>0</v>
          </cell>
          <cell r="AQ23">
            <v>126.95307336135114</v>
          </cell>
          <cell r="AR23">
            <v>1169.9717683592521</v>
          </cell>
        </row>
        <row r="25">
          <cell r="H25">
            <v>3511422.3047674615</v>
          </cell>
          <cell r="I25">
            <v>2226124.5382261286</v>
          </cell>
          <cell r="J25">
            <v>195758.69503882018</v>
          </cell>
          <cell r="K25">
            <v>12350.820403265423</v>
          </cell>
          <cell r="L25">
            <v>821510.02348476264</v>
          </cell>
          <cell r="N25">
            <v>21869.279106252194</v>
          </cell>
          <cell r="O25">
            <v>108686.38194502472</v>
          </cell>
          <cell r="P25">
            <v>4574.2112227967818</v>
          </cell>
          <cell r="U25">
            <v>110871.75456091971</v>
          </cell>
          <cell r="V25">
            <v>9676.6007900634759</v>
          </cell>
        </row>
      </sheetData>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 Planner Inputs"/>
      <sheetName val="Procedures &amp; Inputs"/>
      <sheetName val="Allocators to COS"/>
      <sheetName val="Allocators to COS 1-13th AD"/>
      <sheetName val="5-E10 Jur Energy Alloc"/>
      <sheetName val="5-E10 Jur Demand Alloc"/>
      <sheetName val="5-E10 Class Alloc"/>
      <sheetName val="5-E10 Jur Energy Sales"/>
      <sheetName val="5-E10 Jur Demand Sales"/>
      <sheetName val="5-E10 Jur Energy Prod"/>
      <sheetName val="5-E10 Jur Demand Prod"/>
      <sheetName val="5-E10 Meter Invest Alloc"/>
      <sheetName val="4-E10 Jur Energy Alloc"/>
      <sheetName val="4-E10 Jur Demand Alloc"/>
      <sheetName val="4-E10 Class Alloc"/>
      <sheetName val="4-E10 Jur Energy Sales"/>
      <sheetName val="4-E10 Jur Demand Sales"/>
      <sheetName val="4-E10 Jur Energy Prod"/>
      <sheetName val="4-E10 Jur Demand Prod"/>
      <sheetName val="4-E10 Meter Invest Alloc"/>
      <sheetName val="3-E10 Jur Energy Alloc"/>
      <sheetName val="3-E10 Jur Demand Alloc"/>
      <sheetName val="3-E10 Class Alloc"/>
      <sheetName val="3-E10 Jur Energy Sales"/>
      <sheetName val="3-E10 Jur Demand Sales"/>
      <sheetName val="3-E10 Jur Energy Prod"/>
      <sheetName val="3-E10 Jur Demand Prod"/>
      <sheetName val="3-E10 Meter Invest Alloc"/>
      <sheetName val="E-9"/>
      <sheetName val="E-19a (1-3)"/>
      <sheetName val="E-19a (4-6)"/>
      <sheetName val="E-19b"/>
      <sheetName val="E-19c"/>
      <sheetName val="E-16 Customer by Voltage Level"/>
      <sheetName val="Customer by Voltage Pivot"/>
      <sheetName val="Retail Sales Data"/>
      <sheetName val="Retail Sales Pivot-Yr2"/>
      <sheetName val="Retail Sales Pivot-Yr3"/>
      <sheetName val="Retail Sales Pivot-Yr4"/>
      <sheetName val="Retail Sales Pivot-Yr5"/>
      <sheetName val="Retail Unbilled mWh"/>
      <sheetName val="Whls Sales MWH Data"/>
      <sheetName val="Whls Sales MWH Busbar Data"/>
      <sheetName val="Whls Sales MW Data"/>
      <sheetName val="Whls Sales - Table"/>
      <sheetName val="Whls Sales MWH Pivot"/>
      <sheetName val="Whls Sales MW Pivot"/>
      <sheetName val="OATT KW"/>
      <sheetName val="FOF Data"/>
      <sheetName val="FOF MWH Pivot"/>
      <sheetName val="FOF MW Pivot"/>
      <sheetName val="MW"/>
      <sheetName val="DR"/>
    </sheetNames>
    <sheetDataSet>
      <sheetData sheetId="0"/>
      <sheetData sheetId="1">
        <row r="83">
          <cell r="C83">
            <v>2025</v>
          </cell>
          <cell r="D83">
            <v>41733320.799999997</v>
          </cell>
          <cell r="E83">
            <v>1684536.60286118</v>
          </cell>
          <cell r="F83">
            <v>135166.6</v>
          </cell>
          <cell r="G83">
            <v>39913617.597138815</v>
          </cell>
          <cell r="H83">
            <v>157033.19136465655</v>
          </cell>
          <cell r="I83">
            <v>119914.02033333333</v>
          </cell>
          <cell r="J83">
            <v>39641871.991407499</v>
          </cell>
          <cell r="K83">
            <v>-5201.6059666723013</v>
          </cell>
          <cell r="L83">
            <v>275.97233637367026</v>
          </cell>
        </row>
        <row r="84">
          <cell r="C84">
            <v>2026</v>
          </cell>
          <cell r="D84">
            <v>41866435.200000003</v>
          </cell>
          <cell r="E84">
            <v>1689925.1028611797</v>
          </cell>
          <cell r="F84">
            <v>135166.6</v>
          </cell>
          <cell r="G84">
            <v>40041343.497138821</v>
          </cell>
          <cell r="H84">
            <v>237682.35024035894</v>
          </cell>
          <cell r="I84">
            <v>119914.02033333333</v>
          </cell>
          <cell r="J84">
            <v>39688948.760817446</v>
          </cell>
          <cell r="K84">
            <v>-5201.6342523172498</v>
          </cell>
          <cell r="L84">
            <v>275.97233637367026</v>
          </cell>
        </row>
        <row r="85">
          <cell r="C85">
            <v>2027</v>
          </cell>
          <cell r="D85">
            <v>41898178.899999999</v>
          </cell>
          <cell r="E85">
            <v>1691225.3028611797</v>
          </cell>
          <cell r="F85">
            <v>135166.6</v>
          </cell>
          <cell r="G85">
            <v>40071786.997138821</v>
          </cell>
          <cell r="H85">
            <v>-512861.81424419914</v>
          </cell>
          <cell r="I85">
            <v>119542.02033333333</v>
          </cell>
          <cell r="J85">
            <v>40470309.2983182</v>
          </cell>
          <cell r="K85">
            <v>-5202.5072685107589</v>
          </cell>
          <cell r="L85">
            <v>275.11476395711361</v>
          </cell>
        </row>
        <row r="88">
          <cell r="E88" t="str">
            <v>Year 3</v>
          </cell>
          <cell r="F88" t="str">
            <v>Year 4</v>
          </cell>
          <cell r="G88" t="str">
            <v>Year 5</v>
          </cell>
        </row>
        <row r="89">
          <cell r="E89">
            <v>2025</v>
          </cell>
          <cell r="F89">
            <v>2026</v>
          </cell>
          <cell r="G89">
            <v>2027</v>
          </cell>
        </row>
        <row r="90">
          <cell r="E90">
            <v>35834185.299999997</v>
          </cell>
          <cell r="F90">
            <v>35457243.899999991</v>
          </cell>
          <cell r="G90">
            <v>34630215.900000006</v>
          </cell>
        </row>
        <row r="91">
          <cell r="E91">
            <v>1854584.1</v>
          </cell>
          <cell r="F91">
            <v>1862033.8</v>
          </cell>
          <cell r="G91">
            <v>2008084.5000000005</v>
          </cell>
        </row>
        <row r="92">
          <cell r="E92">
            <v>503241.7</v>
          </cell>
          <cell r="F92">
            <v>352090.69999999995</v>
          </cell>
          <cell r="G92">
            <v>279166.40000000008</v>
          </cell>
        </row>
        <row r="93">
          <cell r="E93">
            <v>4140760.6999999997</v>
          </cell>
          <cell r="F93">
            <v>4858900.4000000004</v>
          </cell>
          <cell r="G93">
            <v>5701169.4000000004</v>
          </cell>
        </row>
        <row r="94">
          <cell r="E94">
            <v>42332771.800000004</v>
          </cell>
          <cell r="F94">
            <v>42530268.79999999</v>
          </cell>
          <cell r="G94">
            <v>42618636.200000003</v>
          </cell>
        </row>
        <row r="95">
          <cell r="E95">
            <v>12646.9</v>
          </cell>
          <cell r="F95">
            <v>9180.7999999999993</v>
          </cell>
          <cell r="G95">
            <v>23155.200000000001</v>
          </cell>
        </row>
        <row r="96">
          <cell r="E96">
            <v>-612125.19999999995</v>
          </cell>
          <cell r="F96">
            <v>-672990.3</v>
          </cell>
          <cell r="G96">
            <v>-743619.29999999993</v>
          </cell>
        </row>
        <row r="97">
          <cell r="E97">
            <v>41733293.5</v>
          </cell>
          <cell r="F97">
            <v>41866459.29999999</v>
          </cell>
          <cell r="G97">
            <v>41898172.100000009</v>
          </cell>
        </row>
        <row r="98">
          <cell r="E98">
            <v>41733320.799999997</v>
          </cell>
          <cell r="F98">
            <v>41866435.200000003</v>
          </cell>
          <cell r="G98">
            <v>41898178.899999999</v>
          </cell>
        </row>
        <row r="101">
          <cell r="I101">
            <v>1.4762666495436375E-2</v>
          </cell>
        </row>
        <row r="102">
          <cell r="I102">
            <v>1.2531332350068623E-2</v>
          </cell>
        </row>
      </sheetData>
      <sheetData sheetId="2"/>
      <sheetData sheetId="3"/>
      <sheetData sheetId="4"/>
      <sheetData sheetId="5"/>
      <sheetData sheetId="6">
        <row r="13">
          <cell r="U13">
            <v>0.63142184644111021</v>
          </cell>
          <cell r="W13">
            <v>0.53261000000000003</v>
          </cell>
        </row>
        <row r="18">
          <cell r="U18">
            <v>5.3465528803797548E-2</v>
          </cell>
          <cell r="W18">
            <v>5.4980000000000001E-2</v>
          </cell>
        </row>
        <row r="20">
          <cell r="U20">
            <v>3.3005036226643348E-3</v>
          </cell>
          <cell r="W20">
            <v>5.1900000000000002E-3</v>
          </cell>
        </row>
        <row r="30">
          <cell r="U30">
            <v>0.26856368920038393</v>
          </cell>
          <cell r="W30">
            <v>0.32999000000000001</v>
          </cell>
        </row>
        <row r="36">
          <cell r="U36">
            <v>2.840274033846599E-3</v>
          </cell>
          <cell r="W36">
            <v>5.0899999999999999E-3</v>
          </cell>
        </row>
        <row r="47">
          <cell r="U47">
            <v>4.005312364396639E-2</v>
          </cell>
          <cell r="W47">
            <v>6.3789999999999999E-2</v>
          </cell>
        </row>
        <row r="49">
          <cell r="U49">
            <v>3.5503425423082487E-4</v>
          </cell>
          <cell r="W49">
            <v>8.3499999999999998E-3</v>
          </cell>
        </row>
      </sheetData>
      <sheetData sheetId="7">
        <row r="12">
          <cell r="K12">
            <v>20982468.502792321</v>
          </cell>
        </row>
        <row r="14">
          <cell r="K14">
            <v>3226.9837799964635</v>
          </cell>
        </row>
        <row r="15">
          <cell r="K15">
            <v>27367.093243529031</v>
          </cell>
        </row>
        <row r="16">
          <cell r="K16">
            <v>0</v>
          </cell>
        </row>
        <row r="17">
          <cell r="K17">
            <v>2188799.4074149076</v>
          </cell>
        </row>
        <row r="19">
          <cell r="K19">
            <v>209993.41425404578</v>
          </cell>
        </row>
        <row r="21">
          <cell r="K21">
            <v>489979.77502391348</v>
          </cell>
        </row>
        <row r="22">
          <cell r="K22">
            <v>0</v>
          </cell>
        </row>
        <row r="23">
          <cell r="K23">
            <v>1773552.7969478443</v>
          </cell>
        </row>
        <row r="24">
          <cell r="K24">
            <v>4328.4779296033894</v>
          </cell>
        </row>
        <row r="26">
          <cell r="K26">
            <v>11036274.197567809</v>
          </cell>
        </row>
        <row r="28">
          <cell r="K28">
            <v>0</v>
          </cell>
        </row>
        <row r="29">
          <cell r="K29">
            <v>67110.812500265747</v>
          </cell>
        </row>
        <row r="30">
          <cell r="K30">
            <v>-1.0327760138460873E-2</v>
          </cell>
        </row>
        <row r="32">
          <cell r="K32">
            <v>982758.14068545587</v>
          </cell>
        </row>
        <row r="33">
          <cell r="K33">
            <v>225245.08731258061</v>
          </cell>
        </row>
        <row r="34">
          <cell r="K34">
            <v>992052.86691678525</v>
          </cell>
        </row>
        <row r="35">
          <cell r="K35">
            <v>0</v>
          </cell>
        </row>
        <row r="36">
          <cell r="K36">
            <v>0</v>
          </cell>
        </row>
        <row r="37">
          <cell r="K37">
            <v>374731.88119710202</v>
          </cell>
        </row>
        <row r="40">
          <cell r="K40">
            <v>5695.3579479948685</v>
          </cell>
        </row>
        <row r="41">
          <cell r="K41">
            <v>2901.4780331393563</v>
          </cell>
        </row>
        <row r="42">
          <cell r="K42">
            <v>56393.757527096343</v>
          </cell>
        </row>
        <row r="44">
          <cell r="K44">
            <v>2300.3275984433189</v>
          </cell>
        </row>
        <row r="45">
          <cell r="K45">
            <v>43525.893880855736</v>
          </cell>
        </row>
        <row r="46">
          <cell r="K46">
            <v>9846.3842047635553</v>
          </cell>
        </row>
        <row r="48">
          <cell r="K48">
            <v>0</v>
          </cell>
        </row>
        <row r="49">
          <cell r="K49">
            <v>142871.08386628859</v>
          </cell>
        </row>
        <row r="51">
          <cell r="K51">
            <v>336023.77377702371</v>
          </cell>
        </row>
      </sheetData>
      <sheetData sheetId="8"/>
      <sheetData sheetId="9"/>
      <sheetData sheetId="10"/>
      <sheetData sheetId="11"/>
      <sheetData sheetId="12"/>
      <sheetData sheetId="13"/>
      <sheetData sheetId="14">
        <row r="13">
          <cell r="U13">
            <v>0.62521512315800798</v>
          </cell>
          <cell r="W13">
            <v>0.52597000000000005</v>
          </cell>
        </row>
        <row r="18">
          <cell r="U18">
            <v>5.4358932989136279E-2</v>
          </cell>
          <cell r="W18">
            <v>5.5750000000000001E-2</v>
          </cell>
        </row>
        <row r="20">
          <cell r="U20">
            <v>3.3478541464988703E-3</v>
          </cell>
          <cell r="W20">
            <v>5.2700000000000004E-3</v>
          </cell>
        </row>
        <row r="30">
          <cell r="U30">
            <v>0.27296439711734966</v>
          </cell>
          <cell r="W30">
            <v>0.33446999999999999</v>
          </cell>
        </row>
        <row r="34">
          <cell r="E34">
            <v>0</v>
          </cell>
        </row>
        <row r="36">
          <cell r="U36">
            <v>2.9041626331074541E-3</v>
          </cell>
          <cell r="W36">
            <v>5.1900000000000002E-3</v>
          </cell>
        </row>
        <row r="47">
          <cell r="U47">
            <v>4.0859954824136818E-2</v>
          </cell>
          <cell r="W47">
            <v>6.4920000000000005E-2</v>
          </cell>
        </row>
        <row r="49">
          <cell r="U49">
            <v>3.4957513176293425E-4</v>
          </cell>
          <cell r="W49">
            <v>8.43E-3</v>
          </cell>
        </row>
      </sheetData>
      <sheetData sheetId="15">
        <row r="12">
          <cell r="K12">
            <v>21036571.744844668</v>
          </cell>
        </row>
        <row r="14">
          <cell r="K14">
            <v>3208.1451394845749</v>
          </cell>
        </row>
        <row r="15">
          <cell r="K15">
            <v>27202.208275670997</v>
          </cell>
        </row>
        <row r="16">
          <cell r="K16">
            <v>0</v>
          </cell>
        </row>
        <row r="17">
          <cell r="K17">
            <v>2177907.2984351711</v>
          </cell>
        </row>
        <row r="19">
          <cell r="K19">
            <v>209117.90872189892</v>
          </cell>
        </row>
        <row r="21">
          <cell r="K21">
            <v>487884.82014897035</v>
          </cell>
        </row>
        <row r="22">
          <cell r="K22">
            <v>0</v>
          </cell>
        </row>
        <row r="23">
          <cell r="K23">
            <v>1766111.3828616769</v>
          </cell>
        </row>
        <row r="24">
          <cell r="K24">
            <v>4299.4792513956163</v>
          </cell>
        </row>
        <row r="26">
          <cell r="K26">
            <v>10979556.808945941</v>
          </cell>
        </row>
        <row r="28">
          <cell r="K28">
            <v>0</v>
          </cell>
        </row>
        <row r="29">
          <cell r="K29">
            <v>66880.904982987529</v>
          </cell>
        </row>
        <row r="32">
          <cell r="K32">
            <v>981013.94165330078</v>
          </cell>
        </row>
        <row r="33">
          <cell r="K33">
            <v>224957.11812369726</v>
          </cell>
        </row>
        <row r="34">
          <cell r="K34">
            <v>990621.11336963053</v>
          </cell>
        </row>
        <row r="35">
          <cell r="K35">
            <v>0</v>
          </cell>
        </row>
        <row r="36">
          <cell r="K36">
            <v>0</v>
          </cell>
        </row>
        <row r="37">
          <cell r="K37">
            <v>374160.90107359481</v>
          </cell>
        </row>
        <row r="40">
          <cell r="K40">
            <v>5674.4552997225883</v>
          </cell>
        </row>
        <row r="41">
          <cell r="K41">
            <v>2883.778614613117</v>
          </cell>
        </row>
        <row r="42">
          <cell r="K42">
            <v>55967.088711695913</v>
          </cell>
        </row>
        <row r="44">
          <cell r="K44">
            <v>2295.9171680665681</v>
          </cell>
        </row>
        <row r="45">
          <cell r="K45">
            <v>43451.215508289672</v>
          </cell>
        </row>
        <row r="46">
          <cell r="K46">
            <v>9826.0669924614049</v>
          </cell>
        </row>
        <row r="48">
          <cell r="K48">
            <v>0</v>
          </cell>
        </row>
        <row r="49">
          <cell r="K49">
            <v>142705.76625712184</v>
          </cell>
        </row>
        <row r="51">
          <cell r="K51">
            <v>334333.05678655772</v>
          </cell>
        </row>
      </sheetData>
      <sheetData sheetId="16"/>
      <sheetData sheetId="17"/>
      <sheetData sheetId="18"/>
      <sheetData sheetId="19"/>
      <sheetData sheetId="20"/>
      <sheetData sheetId="21"/>
      <sheetData sheetId="22">
        <row r="13">
          <cell r="U13">
            <v>0.62731465917189999</v>
          </cell>
          <cell r="W13">
            <v>0.52826000000000006</v>
          </cell>
        </row>
        <row r="18">
          <cell r="U18">
            <v>5.4112932506757389E-2</v>
          </cell>
          <cell r="W18">
            <v>5.5579999999999997E-2</v>
          </cell>
        </row>
        <row r="20">
          <cell r="U20">
            <v>3.3484394120732084E-3</v>
          </cell>
          <cell r="W20">
            <v>5.28E-3</v>
          </cell>
        </row>
        <row r="30">
          <cell r="U30">
            <v>0.27165391390879873</v>
          </cell>
          <cell r="W30">
            <v>0.33317999999999998</v>
          </cell>
        </row>
        <row r="36">
          <cell r="U36">
            <v>2.8643276898457568E-3</v>
          </cell>
          <cell r="W36">
            <v>5.11E-3</v>
          </cell>
        </row>
        <row r="47">
          <cell r="U47">
            <v>4.035609106679397E-2</v>
          </cell>
          <cell r="W47">
            <v>6.4149999999999999E-2</v>
          </cell>
        </row>
        <row r="49">
          <cell r="U49">
            <v>3.4963624383093744E-4</v>
          </cell>
          <cell r="W49">
            <v>8.4399999999999996E-3</v>
          </cell>
        </row>
      </sheetData>
      <sheetData sheetId="23">
        <row r="12">
          <cell r="K12">
            <v>21024272.36356286</v>
          </cell>
        </row>
        <row r="14">
          <cell r="K14">
            <v>3194.5786060781193</v>
          </cell>
        </row>
        <row r="15">
          <cell r="K15">
            <v>27020.221546982211</v>
          </cell>
        </row>
        <row r="16">
          <cell r="K16">
            <v>0</v>
          </cell>
        </row>
        <row r="17">
          <cell r="K17">
            <v>2168306.28498084</v>
          </cell>
        </row>
        <row r="19">
          <cell r="K19">
            <v>208497.37725828003</v>
          </cell>
        </row>
        <row r="21">
          <cell r="K21">
            <v>484241.5124884845</v>
          </cell>
        </row>
        <row r="22">
          <cell r="K22">
            <v>0</v>
          </cell>
        </row>
        <row r="23">
          <cell r="K23">
            <v>1756047.2236458808</v>
          </cell>
        </row>
        <row r="24">
          <cell r="K24">
            <v>4270.3413464142532</v>
          </cell>
        </row>
        <row r="26">
          <cell r="K26">
            <v>10927270.303725917</v>
          </cell>
        </row>
        <row r="28">
          <cell r="K28">
            <v>0</v>
          </cell>
        </row>
        <row r="29">
          <cell r="K29">
            <v>66205.357333145468</v>
          </cell>
        </row>
        <row r="30">
          <cell r="K30">
            <v>-1.0413047890876921E-2</v>
          </cell>
        </row>
        <row r="32">
          <cell r="K32">
            <v>968111.58497917245</v>
          </cell>
        </row>
        <row r="33">
          <cell r="K33">
            <v>222037.88159481308</v>
          </cell>
        </row>
        <row r="34">
          <cell r="K34">
            <v>977523.84396105283</v>
          </cell>
        </row>
        <row r="35">
          <cell r="K35">
            <v>0</v>
          </cell>
        </row>
        <row r="36">
          <cell r="K36">
            <v>0</v>
          </cell>
        </row>
        <row r="37">
          <cell r="K37">
            <v>369418.6230319246</v>
          </cell>
        </row>
        <row r="40">
          <cell r="K40">
            <v>5624.8551338146199</v>
          </cell>
        </row>
        <row r="41">
          <cell r="K41">
            <v>2854.0129900269039</v>
          </cell>
        </row>
        <row r="42">
          <cell r="K42">
            <v>55530.619386193626</v>
          </cell>
        </row>
        <row r="44">
          <cell r="K44">
            <v>2271.5790033476592</v>
          </cell>
        </row>
        <row r="45">
          <cell r="K45">
            <v>42745.060712045437</v>
          </cell>
        </row>
        <row r="46">
          <cell r="K46">
            <v>9695.8997464055174</v>
          </cell>
        </row>
        <row r="48">
          <cell r="K48">
            <v>0</v>
          </cell>
        </row>
        <row r="49">
          <cell r="K49">
            <v>140347.31862412201</v>
          </cell>
        </row>
        <row r="51">
          <cell r="K51">
            <v>333418.34952740377</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dures &amp; Inputs"/>
      <sheetName val="Rates"/>
      <sheetName val="Billing Units - Pivot Table"/>
      <sheetName val="Billing Units - Data"/>
      <sheetName val="Revenue Detail"/>
      <sheetName val="Revenue Summary"/>
      <sheetName val="E13c - Yr1"/>
      <sheetName val="E13c - Yr2"/>
      <sheetName val="E13c - Yr3"/>
      <sheetName val="E13c - Yr4"/>
      <sheetName val="E13c - Yr5"/>
      <sheetName val="E13c Summary - All Years"/>
      <sheetName val="E13c Summary - Yr1"/>
      <sheetName val="E13c Summary - Yr2"/>
      <sheetName val="E13c Summary - Yr3"/>
      <sheetName val="E13c Summary - Yr4"/>
      <sheetName val="E13c Summary - Yr5"/>
      <sheetName val="by Class - All Yrs"/>
      <sheetName val="by Class - Yr1"/>
      <sheetName val="by Class - Yr2"/>
      <sheetName val="by Class - Yr3"/>
      <sheetName val="by Class - Yr4"/>
      <sheetName val="by Class - Yr5"/>
      <sheetName val="by Rate Code - Yr1"/>
      <sheetName val="by Rate Code - Yr2"/>
      <sheetName val="by Rate Code - Yr3"/>
      <sheetName val="by Rate Code - Yr4"/>
      <sheetName val="by Rate Code - Yr5"/>
      <sheetName val="YoY bill determinants"/>
      <sheetName val="TOU Estimate"/>
      <sheetName val="Sales Forecast - All Yrs"/>
      <sheetName val="Sales Forecast - Yr1"/>
      <sheetName val="Sales Forecast - Yr2"/>
      <sheetName val="Sales Forecast - Yr3"/>
      <sheetName val="Sales Forecast - Yr4"/>
      <sheetName val="Sales Forecast - Yr5"/>
      <sheetName val="Sales Forecast - Yr6"/>
      <sheetName val="Sales Forecast by Rate Class"/>
      <sheetName val="BC Annual"/>
      <sheetName val="BC Monthly"/>
      <sheetName val="Minimum Bill Historical"/>
      <sheetName val="BC kWh Pivot"/>
      <sheetName val="BC kWh % Pivot"/>
      <sheetName val="BC Customers Pivot"/>
      <sheetName val="BC Customers % Pivot"/>
      <sheetName val="CSS to SAP Lookup"/>
      <sheetName val="SS"/>
      <sheetName val="Income Statement"/>
      <sheetName val="REG FL  Revenue - 13 Retail"/>
      <sheetName val="REG FL Summary 13"/>
    </sheetNames>
    <sheetDataSet>
      <sheetData sheetId="0">
        <row r="121">
          <cell r="D121">
            <v>359389.32883348421</v>
          </cell>
        </row>
      </sheetData>
      <sheetData sheetId="1"/>
      <sheetData sheetId="2"/>
      <sheetData sheetId="3"/>
      <sheetData sheetId="4">
        <row r="55">
          <cell r="D55">
            <v>2721224658.9679284</v>
          </cell>
          <cell r="E55">
            <v>2732363792.0680933</v>
          </cell>
          <cell r="F55">
            <v>2737941467.9969506</v>
          </cell>
        </row>
      </sheetData>
      <sheetData sheetId="5">
        <row r="83">
          <cell r="D83">
            <v>19864.303828715772</v>
          </cell>
        </row>
      </sheetData>
      <sheetData sheetId="6"/>
      <sheetData sheetId="7"/>
      <sheetData sheetId="8">
        <row r="321">
          <cell r="AD321">
            <v>71.783423469701717</v>
          </cell>
        </row>
        <row r="440">
          <cell r="AD440">
            <v>1741.9447148093368</v>
          </cell>
        </row>
        <row r="622">
          <cell r="D622">
            <v>253660.31999999995</v>
          </cell>
          <cell r="J622">
            <v>253660.31999999995</v>
          </cell>
        </row>
        <row r="627">
          <cell r="D627">
            <v>58299.72</v>
          </cell>
          <cell r="J627">
            <v>58299.72</v>
          </cell>
        </row>
        <row r="628">
          <cell r="D628">
            <v>2058855.1762953247</v>
          </cell>
          <cell r="J628">
            <v>2058855.1762953247</v>
          </cell>
        </row>
        <row r="630">
          <cell r="D630">
            <v>253432</v>
          </cell>
          <cell r="J630">
            <v>253432</v>
          </cell>
        </row>
        <row r="631">
          <cell r="D631">
            <v>145658.77538565526</v>
          </cell>
          <cell r="J631">
            <v>145658.77538565526</v>
          </cell>
        </row>
        <row r="679">
          <cell r="D679">
            <v>31.043953717218788</v>
          </cell>
        </row>
        <row r="683">
          <cell r="D683">
            <v>339240</v>
          </cell>
          <cell r="J683">
            <v>339240</v>
          </cell>
        </row>
        <row r="689">
          <cell r="D689">
            <v>66270</v>
          </cell>
          <cell r="J689">
            <v>66270</v>
          </cell>
        </row>
        <row r="690">
          <cell r="D690">
            <v>2131982.4009088818</v>
          </cell>
          <cell r="J690">
            <v>2131982.4009088818</v>
          </cell>
        </row>
        <row r="692">
          <cell r="D692">
            <v>110000</v>
          </cell>
          <cell r="J692">
            <v>110000</v>
          </cell>
        </row>
        <row r="693">
          <cell r="D693">
            <v>44434.269591896082</v>
          </cell>
          <cell r="J693">
            <v>44434.269591896082</v>
          </cell>
        </row>
        <row r="739">
          <cell r="D739">
            <v>10.348876101185279</v>
          </cell>
        </row>
        <row r="743">
          <cell r="D743">
            <v>296317.70399999997</v>
          </cell>
          <cell r="J743">
            <v>296317.70399999997</v>
          </cell>
        </row>
        <row r="748">
          <cell r="D748">
            <v>24693.142</v>
          </cell>
          <cell r="J748">
            <v>24693.142</v>
          </cell>
        </row>
        <row r="749">
          <cell r="D749">
            <v>4889592.1428231634</v>
          </cell>
          <cell r="J749">
            <v>4889592.1428231634</v>
          </cell>
        </row>
        <row r="751">
          <cell r="D751">
            <v>0</v>
          </cell>
        </row>
        <row r="752">
          <cell r="D752">
            <v>0</v>
          </cell>
        </row>
      </sheetData>
      <sheetData sheetId="9">
        <row r="321">
          <cell r="AD321">
            <v>71.783423469701717</v>
          </cell>
        </row>
        <row r="440">
          <cell r="AD440">
            <v>1741.9447148093368</v>
          </cell>
        </row>
        <row r="622">
          <cell r="D622">
            <v>253660.31999999995</v>
          </cell>
          <cell r="J622">
            <v>253660.31999999995</v>
          </cell>
        </row>
        <row r="627">
          <cell r="D627">
            <v>58299.72</v>
          </cell>
          <cell r="J627">
            <v>58299.72</v>
          </cell>
        </row>
        <row r="628">
          <cell r="D628">
            <v>2074939.8402319269</v>
          </cell>
          <cell r="J628">
            <v>2074939.8402319269</v>
          </cell>
        </row>
        <row r="630">
          <cell r="D630">
            <v>253432</v>
          </cell>
          <cell r="J630">
            <v>253432</v>
          </cell>
        </row>
        <row r="631">
          <cell r="D631">
            <v>146796.72451314615</v>
          </cell>
          <cell r="J631">
            <v>146796.72451314615</v>
          </cell>
        </row>
        <row r="679">
          <cell r="D679">
            <v>30.826783092364508</v>
          </cell>
        </row>
        <row r="683">
          <cell r="D683">
            <v>339240</v>
          </cell>
          <cell r="J683">
            <v>339240</v>
          </cell>
        </row>
        <row r="688">
          <cell r="D688">
            <v>66270</v>
          </cell>
          <cell r="J688">
            <v>66270</v>
          </cell>
        </row>
        <row r="689">
          <cell r="D689">
            <v>2165383.2056423929</v>
          </cell>
          <cell r="J689">
            <v>2165383.2056423929</v>
          </cell>
        </row>
        <row r="690">
          <cell r="J690">
            <v>0</v>
          </cell>
        </row>
        <row r="691">
          <cell r="D691">
            <v>110000</v>
          </cell>
          <cell r="J691">
            <v>110000</v>
          </cell>
        </row>
        <row r="692">
          <cell r="D692">
            <v>45130.40121168919</v>
          </cell>
          <cell r="J692">
            <v>45130.40121168919</v>
          </cell>
        </row>
        <row r="739">
          <cell r="D739">
            <v>10.227736050487131</v>
          </cell>
        </row>
        <row r="743">
          <cell r="D743">
            <v>296317.70399999997</v>
          </cell>
          <cell r="J743">
            <v>296317.70399999997</v>
          </cell>
        </row>
        <row r="748">
          <cell r="D748">
            <v>24693.142</v>
          </cell>
          <cell r="J748">
            <v>24693.142</v>
          </cell>
        </row>
        <row r="749">
          <cell r="D749">
            <v>4972035.6140713263</v>
          </cell>
          <cell r="J749">
            <v>4972035.6140713263</v>
          </cell>
        </row>
        <row r="751">
          <cell r="D751">
            <v>0</v>
          </cell>
        </row>
        <row r="752">
          <cell r="D752">
            <v>0</v>
          </cell>
        </row>
      </sheetData>
      <sheetData sheetId="10">
        <row r="321">
          <cell r="AD321">
            <v>71.783423469701717</v>
          </cell>
        </row>
        <row r="440">
          <cell r="AD440">
            <v>1741.9447148093368</v>
          </cell>
        </row>
        <row r="622">
          <cell r="D622">
            <v>253660.31999999995</v>
          </cell>
          <cell r="J622">
            <v>253660.31999999995</v>
          </cell>
        </row>
        <row r="627">
          <cell r="D627">
            <v>58299.72</v>
          </cell>
          <cell r="J627">
            <v>58299.72</v>
          </cell>
        </row>
        <row r="628">
          <cell r="D628">
            <v>2095482.8145370097</v>
          </cell>
          <cell r="J628">
            <v>2095482.8145370097</v>
          </cell>
        </row>
        <row r="630">
          <cell r="D630">
            <v>253432</v>
          </cell>
          <cell r="J630">
            <v>253432</v>
          </cell>
        </row>
        <row r="631">
          <cell r="D631">
            <v>148250.08777759949</v>
          </cell>
          <cell r="J631">
            <v>148250.08777759949</v>
          </cell>
        </row>
        <row r="679">
          <cell r="D679">
            <v>30.843520834196561</v>
          </cell>
        </row>
        <row r="683">
          <cell r="D683">
            <v>339240</v>
          </cell>
          <cell r="J683">
            <v>339240</v>
          </cell>
        </row>
        <row r="689">
          <cell r="D689">
            <v>66270</v>
          </cell>
          <cell r="J689">
            <v>66270</v>
          </cell>
        </row>
        <row r="690">
          <cell r="D690">
            <v>2169838.4618065543</v>
          </cell>
          <cell r="J690">
            <v>2169838.4618065543</v>
          </cell>
        </row>
        <row r="692">
          <cell r="D692">
            <v>110000</v>
          </cell>
          <cell r="J692">
            <v>110000</v>
          </cell>
        </row>
        <row r="693">
          <cell r="D693">
            <v>45223.25659990203</v>
          </cell>
          <cell r="J693">
            <v>45223.25659990203</v>
          </cell>
        </row>
        <row r="739">
          <cell r="D739">
            <v>10.197856552823401</v>
          </cell>
        </row>
        <row r="743">
          <cell r="D743">
            <v>296317.70399999997</v>
          </cell>
          <cell r="J743">
            <v>296317.70399999997</v>
          </cell>
        </row>
        <row r="748">
          <cell r="D748">
            <v>24693.142</v>
          </cell>
          <cell r="J748">
            <v>24693.142</v>
          </cell>
        </row>
        <row r="749">
          <cell r="D749">
            <v>4978726.1907929899</v>
          </cell>
          <cell r="J749">
            <v>4978726.1907929899</v>
          </cell>
        </row>
        <row r="751">
          <cell r="D751">
            <v>0</v>
          </cell>
        </row>
        <row r="752">
          <cell r="D752">
            <v>0</v>
          </cell>
        </row>
      </sheetData>
      <sheetData sheetId="11">
        <row r="7">
          <cell r="H7">
            <v>1771210418.8514395</v>
          </cell>
        </row>
        <row r="40">
          <cell r="D40">
            <v>1033812.9599999998</v>
          </cell>
          <cell r="E40">
            <v>1033812.9599999998</v>
          </cell>
          <cell r="F40">
            <v>1033812.9599999998</v>
          </cell>
        </row>
        <row r="41">
          <cell r="D41">
            <v>798480</v>
          </cell>
          <cell r="E41">
            <v>339240</v>
          </cell>
          <cell r="F41">
            <v>798480</v>
          </cell>
        </row>
        <row r="42">
          <cell r="D42">
            <v>592635.40799999994</v>
          </cell>
          <cell r="E42">
            <v>592635.40799999994</v>
          </cell>
          <cell r="F42">
            <v>592635.40799999994</v>
          </cell>
        </row>
        <row r="43">
          <cell r="D43">
            <v>46935590.553906344</v>
          </cell>
          <cell r="E43">
            <v>46759542.684216343</v>
          </cell>
          <cell r="F43">
            <v>47455563.098380499</v>
          </cell>
        </row>
        <row r="56">
          <cell r="D56">
            <v>39641871.991407491</v>
          </cell>
          <cell r="E56">
            <v>39688948.760817453</v>
          </cell>
          <cell r="F56">
            <v>40470309.2983182</v>
          </cell>
        </row>
      </sheetData>
      <sheetData sheetId="12"/>
      <sheetData sheetId="13"/>
      <sheetData sheetId="14">
        <row r="98">
          <cell r="F98">
            <v>12642725</v>
          </cell>
        </row>
      </sheetData>
      <sheetData sheetId="15">
        <row r="98">
          <cell r="F98">
            <v>12642725</v>
          </cell>
        </row>
      </sheetData>
      <sheetData sheetId="16">
        <row r="98">
          <cell r="F98">
            <v>12642725</v>
          </cell>
        </row>
      </sheetData>
      <sheetData sheetId="17">
        <row r="82">
          <cell r="E82">
            <v>157033.19136465655</v>
          </cell>
          <cell r="F82">
            <v>237682.35024035894</v>
          </cell>
          <cell r="G82">
            <v>-512861.81424419914</v>
          </cell>
        </row>
      </sheetData>
      <sheetData sheetId="18"/>
      <sheetData sheetId="19"/>
      <sheetData sheetId="20"/>
      <sheetData sheetId="21"/>
      <sheetData sheetId="22"/>
      <sheetData sheetId="23"/>
      <sheetData sheetId="24"/>
      <sheetData sheetId="25">
        <row r="1">
          <cell r="A1" t="str">
            <v>This tab calculates the details for the E-13c schedules by rate class and various other schedules.  Make sure links are correct and checks in yellow at the end of each rate class are zero.</v>
          </cell>
        </row>
        <row r="2">
          <cell r="A2">
            <v>1</v>
          </cell>
          <cell r="C2">
            <v>2</v>
          </cell>
          <cell r="D2">
            <v>3</v>
          </cell>
          <cell r="E2">
            <v>4</v>
          </cell>
          <cell r="AJ2">
            <v>35</v>
          </cell>
          <cell r="RB2">
            <v>469</v>
          </cell>
        </row>
        <row r="3">
          <cell r="A3" t="str">
            <v>Year 3</v>
          </cell>
          <cell r="RB3" t="str">
            <v>Forecast</v>
          </cell>
        </row>
        <row r="4">
          <cell r="RB4" t="str">
            <v>Bills</v>
          </cell>
        </row>
        <row r="5">
          <cell r="A5" t="str">
            <v>DEF Retail Forecast by Rate Code</v>
          </cell>
        </row>
        <row r="7">
          <cell r="A7" t="str">
            <v>Rate</v>
          </cell>
          <cell r="C7" t="str">
            <v>Rate</v>
          </cell>
          <cell r="AJ7" t="str">
            <v>Base</v>
          </cell>
        </row>
        <row r="8">
          <cell r="A8" t="str">
            <v>Class</v>
          </cell>
          <cell r="C8" t="str">
            <v>Category</v>
          </cell>
          <cell r="D8" t="str">
            <v>Del</v>
          </cell>
          <cell r="E8" t="str">
            <v>Met</v>
          </cell>
          <cell r="AJ8" t="str">
            <v>KW</v>
          </cell>
          <cell r="RB8" t="str">
            <v>Total</v>
          </cell>
        </row>
        <row r="9">
          <cell r="A9" t="str">
            <v>RS-1</v>
          </cell>
          <cell r="C9" t="str">
            <v>FLER_RS-1</v>
          </cell>
          <cell r="D9" t="str">
            <v>Sec.</v>
          </cell>
          <cell r="E9" t="str">
            <v>Sec.</v>
          </cell>
          <cell r="RB9">
            <v>15947480.44086189</v>
          </cell>
        </row>
        <row r="10">
          <cell r="A10" t="str">
            <v>RS-1</v>
          </cell>
          <cell r="C10" t="str">
            <v>FLER_RSL1</v>
          </cell>
          <cell r="D10" t="str">
            <v>Sec.</v>
          </cell>
          <cell r="E10" t="str">
            <v>Sec.</v>
          </cell>
          <cell r="RB10">
            <v>5371415.9530799799</v>
          </cell>
        </row>
        <row r="11">
          <cell r="A11" t="str">
            <v>RS-1</v>
          </cell>
          <cell r="C11" t="str">
            <v>FLER_RS1FP</v>
          </cell>
          <cell r="D11" t="str">
            <v>Sec.</v>
          </cell>
          <cell r="E11" t="str">
            <v>Sec.</v>
          </cell>
          <cell r="RB11">
            <v>5.1999768754770024</v>
          </cell>
        </row>
        <row r="12">
          <cell r="A12" t="str">
            <v>RS-1</v>
          </cell>
          <cell r="C12" t="str">
            <v>FLER_RSS1</v>
          </cell>
          <cell r="D12" t="str">
            <v>Sec.</v>
          </cell>
          <cell r="E12" t="str">
            <v>Sec.</v>
          </cell>
          <cell r="RB12">
            <v>298.47867265238</v>
          </cell>
        </row>
        <row r="13">
          <cell r="A13" t="str">
            <v>RS-1</v>
          </cell>
          <cell r="C13" t="str">
            <v>FLER_RSSL1</v>
          </cell>
          <cell r="D13" t="str">
            <v>Sec.</v>
          </cell>
          <cell r="E13" t="str">
            <v>Sec.</v>
          </cell>
          <cell r="RB13">
            <v>111.27950513520787</v>
          </cell>
        </row>
        <row r="14">
          <cell r="RB14">
            <v>21319311.352096535</v>
          </cell>
        </row>
        <row r="22">
          <cell r="A22" t="str">
            <v>RS-1</v>
          </cell>
          <cell r="C22" t="str">
            <v>FLER_RST1</v>
          </cell>
          <cell r="D22" t="str">
            <v>Sec.</v>
          </cell>
          <cell r="E22" t="str">
            <v>Sec.</v>
          </cell>
          <cell r="RB22">
            <v>35.359842753243619</v>
          </cell>
        </row>
        <row r="23">
          <cell r="A23" t="str">
            <v>RS-1</v>
          </cell>
          <cell r="C23" t="str">
            <v>FLER_RST1A</v>
          </cell>
          <cell r="D23" t="str">
            <v>Sec.</v>
          </cell>
          <cell r="E23" t="str">
            <v>Sec.</v>
          </cell>
          <cell r="RB23">
            <v>2256.7899639570192</v>
          </cell>
        </row>
        <row r="24">
          <cell r="RB24">
            <v>2292.149806710263</v>
          </cell>
        </row>
        <row r="27">
          <cell r="RB27">
            <v>21321603.501903247</v>
          </cell>
        </row>
        <row r="30">
          <cell r="A30" t="str">
            <v>GS-1</v>
          </cell>
          <cell r="C30" t="str">
            <v>FLEC_GS1S</v>
          </cell>
          <cell r="D30" t="str">
            <v>Sec.</v>
          </cell>
          <cell r="E30" t="str">
            <v>Sec.</v>
          </cell>
          <cell r="RB30">
            <v>1544985.9203648227</v>
          </cell>
        </row>
        <row r="31">
          <cell r="A31" t="str">
            <v>GS-1</v>
          </cell>
          <cell r="C31" t="str">
            <v>FLEC_GS1UM</v>
          </cell>
          <cell r="D31" t="str">
            <v>Sec.</v>
          </cell>
          <cell r="E31" t="str">
            <v>Sec.</v>
          </cell>
          <cell r="RB31">
            <v>5528.9116649821972</v>
          </cell>
        </row>
        <row r="32">
          <cell r="RB32">
            <v>1550514.8320298048</v>
          </cell>
        </row>
        <row r="34">
          <cell r="A34" t="str">
            <v>GS-1</v>
          </cell>
          <cell r="C34" t="str">
            <v>FLEC_GS1P</v>
          </cell>
          <cell r="D34" t="str">
            <v>Primary</v>
          </cell>
          <cell r="E34" t="str">
            <v>Primary</v>
          </cell>
          <cell r="RB34">
            <v>1589.1134071312233</v>
          </cell>
        </row>
        <row r="36">
          <cell r="A36" t="str">
            <v>GS-1</v>
          </cell>
          <cell r="C36" t="str">
            <v>FLEC_GST1S</v>
          </cell>
          <cell r="D36" t="str">
            <v>Sec.</v>
          </cell>
          <cell r="E36" t="str">
            <v>Sec.</v>
          </cell>
          <cell r="AJ36" t="str">
            <v xml:space="preserve"> </v>
          </cell>
          <cell r="RB36">
            <v>539.40601609582416</v>
          </cell>
        </row>
        <row r="37">
          <cell r="A37" t="str">
            <v>GS-1</v>
          </cell>
          <cell r="C37" t="str">
            <v>FLEC_GT1SA</v>
          </cell>
          <cell r="D37" t="str">
            <v>Sec.</v>
          </cell>
          <cell r="E37" t="str">
            <v>Sec.</v>
          </cell>
          <cell r="AJ37" t="str">
            <v xml:space="preserve"> </v>
          </cell>
          <cell r="RB37">
            <v>14842.396834982039</v>
          </cell>
        </row>
        <row r="38">
          <cell r="A38" t="str">
            <v>`</v>
          </cell>
          <cell r="AJ38" t="str">
            <v xml:space="preserve"> </v>
          </cell>
          <cell r="RB38">
            <v>15381.802851077862</v>
          </cell>
        </row>
        <row r="39">
          <cell r="AJ39" t="str">
            <v xml:space="preserve"> </v>
          </cell>
        </row>
        <row r="40">
          <cell r="A40" t="str">
            <v>GS-1</v>
          </cell>
          <cell r="C40" t="str">
            <v>FLEC_GT1PA</v>
          </cell>
          <cell r="D40" t="str">
            <v>Primary</v>
          </cell>
          <cell r="E40" t="str">
            <v>Primary</v>
          </cell>
          <cell r="AJ40" t="str">
            <v xml:space="preserve"> </v>
          </cell>
          <cell r="RB40">
            <v>171.71738282187209</v>
          </cell>
        </row>
        <row r="41">
          <cell r="A41" t="str">
            <v>GS-1</v>
          </cell>
          <cell r="C41" t="str">
            <v>FLEC_GST1P</v>
          </cell>
          <cell r="D41" t="str">
            <v>Primary</v>
          </cell>
          <cell r="E41" t="str">
            <v>Primary</v>
          </cell>
          <cell r="AJ41" t="str">
            <v xml:space="preserve"> </v>
          </cell>
          <cell r="RB41">
            <v>31.044950566666138</v>
          </cell>
        </row>
        <row r="42">
          <cell r="AJ42" t="str">
            <v xml:space="preserve"> </v>
          </cell>
          <cell r="RB42">
            <v>202.76233338853822</v>
          </cell>
        </row>
        <row r="43">
          <cell r="AJ43" t="str">
            <v xml:space="preserve"> </v>
          </cell>
        </row>
        <row r="44">
          <cell r="A44" t="str">
            <v>GS-1</v>
          </cell>
          <cell r="C44" t="str">
            <v>FLEC_GT1TA</v>
          </cell>
          <cell r="D44" t="str">
            <v>Tran &lt;230kV</v>
          </cell>
          <cell r="E44" t="str">
            <v>Tran &lt;230kV</v>
          </cell>
          <cell r="AJ44" t="str">
            <v xml:space="preserve"> </v>
          </cell>
          <cell r="RB44">
            <v>23.283712924999609</v>
          </cell>
        </row>
        <row r="47">
          <cell r="RB47">
            <v>1567711.7943343273</v>
          </cell>
        </row>
        <row r="50">
          <cell r="A50" t="str">
            <v>GS-2</v>
          </cell>
          <cell r="C50" t="str">
            <v>FLEC_GS2UM</v>
          </cell>
          <cell r="D50" t="str">
            <v>Sec.</v>
          </cell>
          <cell r="E50" t="str">
            <v>Sec.</v>
          </cell>
          <cell r="RB50">
            <v>10123.90239371451</v>
          </cell>
        </row>
        <row r="52">
          <cell r="A52" t="str">
            <v>GS-2</v>
          </cell>
          <cell r="C52" t="str">
            <v>FLEC_GS2</v>
          </cell>
          <cell r="D52" t="str">
            <v>Sec.</v>
          </cell>
          <cell r="E52" t="str">
            <v>Sec.</v>
          </cell>
          <cell r="RB52">
            <v>167225.3671961673</v>
          </cell>
        </row>
        <row r="54">
          <cell r="RB54">
            <v>177349.26958988182</v>
          </cell>
        </row>
        <row r="57">
          <cell r="A57" t="str">
            <v>GSD</v>
          </cell>
          <cell r="C57" t="str">
            <v>FLEC_GSDS</v>
          </cell>
          <cell r="D57" t="str">
            <v>Sec.</v>
          </cell>
          <cell r="E57" t="str">
            <v>Sec.</v>
          </cell>
          <cell r="AJ57">
            <v>69330.876410099328</v>
          </cell>
          <cell r="RB57">
            <v>3869.3294839731534</v>
          </cell>
        </row>
        <row r="58">
          <cell r="A58" t="str">
            <v>GSD</v>
          </cell>
          <cell r="C58" t="str">
            <v>FLEC_GSDSA</v>
          </cell>
          <cell r="D58" t="str">
            <v>Sec.</v>
          </cell>
          <cell r="E58" t="str">
            <v>Sec.</v>
          </cell>
          <cell r="AJ58">
            <v>10602888.306842983</v>
          </cell>
          <cell r="RB58">
            <v>393999.5128949986</v>
          </cell>
        </row>
        <row r="59">
          <cell r="AJ59">
            <v>10672219.183253082</v>
          </cell>
          <cell r="RB59">
            <v>397868.84237897175</v>
          </cell>
        </row>
        <row r="61">
          <cell r="A61" t="str">
            <v>GSD</v>
          </cell>
          <cell r="C61" t="str">
            <v>FLEC_GSDP</v>
          </cell>
          <cell r="D61" t="str">
            <v>Primary</v>
          </cell>
          <cell r="E61" t="str">
            <v>Primary</v>
          </cell>
          <cell r="AJ61">
            <v>11815.963551020492</v>
          </cell>
          <cell r="RB61">
            <v>323.45176155088075</v>
          </cell>
        </row>
        <row r="62">
          <cell r="A62" t="str">
            <v>GSD</v>
          </cell>
          <cell r="C62" t="str">
            <v>FLEC_GSDPA</v>
          </cell>
          <cell r="D62" t="str">
            <v>Sec.</v>
          </cell>
          <cell r="E62" t="str">
            <v>Primary</v>
          </cell>
          <cell r="AJ62">
            <v>0</v>
          </cell>
          <cell r="RB62">
            <v>0</v>
          </cell>
        </row>
        <row r="63">
          <cell r="A63" t="str">
            <v>GSD</v>
          </cell>
          <cell r="C63" t="str">
            <v>FLEC_GSDPA</v>
          </cell>
          <cell r="D63" t="str">
            <v>Primary</v>
          </cell>
          <cell r="E63" t="str">
            <v>Primary</v>
          </cell>
          <cell r="AJ63">
            <v>258791.22781487985</v>
          </cell>
          <cell r="RB63">
            <v>1246.4480655403099</v>
          </cell>
        </row>
        <row r="64">
          <cell r="AJ64">
            <v>270607.19136590033</v>
          </cell>
          <cell r="RB64">
            <v>1569.8998270911907</v>
          </cell>
        </row>
        <row r="66">
          <cell r="A66" t="str">
            <v>GSD</v>
          </cell>
          <cell r="C66" t="str">
            <v>FLEC_GSDT</v>
          </cell>
          <cell r="D66" t="str">
            <v>Tran &lt;230kV</v>
          </cell>
          <cell r="E66" t="str">
            <v>Tran &lt;230kV</v>
          </cell>
          <cell r="AJ66">
            <v>59.984322343576999</v>
          </cell>
          <cell r="RB66">
            <v>23.175671388380866</v>
          </cell>
        </row>
        <row r="67">
          <cell r="A67" t="str">
            <v>GSD</v>
          </cell>
          <cell r="C67" t="str">
            <v>FLEC_GSDTA</v>
          </cell>
          <cell r="D67" t="str">
            <v>Tran &lt;230kV</v>
          </cell>
          <cell r="E67" t="str">
            <v>Tran &lt;230kV</v>
          </cell>
          <cell r="AJ67">
            <v>326.76557884179806</v>
          </cell>
          <cell r="RB67">
            <v>14.106930410318787</v>
          </cell>
        </row>
        <row r="68">
          <cell r="AJ68">
            <v>386.74990118537505</v>
          </cell>
          <cell r="RB68">
            <v>37.282601798699652</v>
          </cell>
        </row>
        <row r="70">
          <cell r="A70" t="str">
            <v>GSD</v>
          </cell>
          <cell r="C70" t="str">
            <v>FLEC_GSDTS</v>
          </cell>
          <cell r="D70" t="str">
            <v>Sec.</v>
          </cell>
          <cell r="E70" t="str">
            <v>Sec.</v>
          </cell>
          <cell r="AJ70">
            <v>75898.06307747899</v>
          </cell>
          <cell r="RB70">
            <v>1141.6537253493702</v>
          </cell>
        </row>
        <row r="71">
          <cell r="A71" t="str">
            <v>GSD</v>
          </cell>
          <cell r="C71" t="str">
            <v>FLEC_GDTSA</v>
          </cell>
          <cell r="D71" t="str">
            <v>Sec.</v>
          </cell>
          <cell r="E71" t="str">
            <v>Sec.</v>
          </cell>
          <cell r="AJ71">
            <v>20728942.424044326</v>
          </cell>
          <cell r="RB71">
            <v>179068.33643915446</v>
          </cell>
        </row>
        <row r="72">
          <cell r="A72" t="str">
            <v>GSD</v>
          </cell>
          <cell r="C72" t="str">
            <v>FLEC_GDTSA</v>
          </cell>
          <cell r="D72" t="str">
            <v>Primary</v>
          </cell>
          <cell r="E72" t="str">
            <v>Sec.</v>
          </cell>
          <cell r="AJ72">
            <v>9437.8047952989127</v>
          </cell>
          <cell r="RB72">
            <v>10.076378864513421</v>
          </cell>
        </row>
        <row r="73">
          <cell r="AJ73">
            <v>20814278.291917104</v>
          </cell>
          <cell r="RB73">
            <v>180220.06654336836</v>
          </cell>
        </row>
        <row r="75">
          <cell r="A75" t="str">
            <v>GSD</v>
          </cell>
          <cell r="C75" t="str">
            <v>FLEC_GDTPA</v>
          </cell>
          <cell r="D75" t="str">
            <v>Sec.</v>
          </cell>
          <cell r="E75" t="str">
            <v>Primary</v>
          </cell>
          <cell r="AJ75">
            <v>0</v>
          </cell>
          <cell r="RB75">
            <v>0</v>
          </cell>
        </row>
        <row r="76">
          <cell r="A76" t="str">
            <v>GSD</v>
          </cell>
          <cell r="C76" t="str">
            <v>FLEC_GDTPA</v>
          </cell>
          <cell r="D76" t="str">
            <v>Primary</v>
          </cell>
          <cell r="E76" t="str">
            <v>Primary</v>
          </cell>
          <cell r="AJ76">
            <v>4037152.9998266464</v>
          </cell>
          <cell r="RB76">
            <v>2782.0882044921555</v>
          </cell>
        </row>
        <row r="77">
          <cell r="A77" t="str">
            <v>GSD</v>
          </cell>
          <cell r="C77" t="str">
            <v>FLEC_GSDTP</v>
          </cell>
          <cell r="D77" t="str">
            <v>Primary</v>
          </cell>
          <cell r="E77" t="str">
            <v>Primary</v>
          </cell>
          <cell r="AJ77">
            <v>81767.222780841315</v>
          </cell>
          <cell r="RB77">
            <v>143.08457987609057</v>
          </cell>
        </row>
        <row r="78">
          <cell r="AJ78">
            <v>4118920.2226074878</v>
          </cell>
          <cell r="RB78">
            <v>2925.1727843682461</v>
          </cell>
        </row>
        <row r="80">
          <cell r="A80" t="str">
            <v>GSD</v>
          </cell>
          <cell r="C80" t="str">
            <v>FLEC_GSDTT</v>
          </cell>
          <cell r="D80" t="str">
            <v>Tran &lt;230kV</v>
          </cell>
          <cell r="E80" t="str">
            <v>Tran &lt;230kV</v>
          </cell>
          <cell r="AJ80">
            <v>24.147795866429842</v>
          </cell>
          <cell r="RB80">
            <v>2.015275772902684</v>
          </cell>
        </row>
        <row r="81">
          <cell r="A81" t="str">
            <v>GSD</v>
          </cell>
          <cell r="C81" t="str">
            <v>FLEC_GDTTA</v>
          </cell>
          <cell r="D81" t="str">
            <v>Tran &lt;230kV</v>
          </cell>
          <cell r="E81" t="str">
            <v>Tran &lt;230kV</v>
          </cell>
          <cell r="AJ81">
            <v>974743.03883758525</v>
          </cell>
          <cell r="RB81">
            <v>19.145119842575497</v>
          </cell>
        </row>
        <row r="82">
          <cell r="AJ82">
            <v>974767.18663345173</v>
          </cell>
          <cell r="RB82">
            <v>21.16039561547818</v>
          </cell>
        </row>
        <row r="84">
          <cell r="AJ84">
            <v>36851178.825678214</v>
          </cell>
          <cell r="RB84">
            <v>582642.42453121382</v>
          </cell>
        </row>
        <row r="85">
          <cell r="AJ85">
            <v>0</v>
          </cell>
        </row>
        <row r="87">
          <cell r="A87" t="str">
            <v>CS</v>
          </cell>
          <cell r="C87" t="str">
            <v>FLEC_CS2P</v>
          </cell>
          <cell r="D87" t="str">
            <v>Primary</v>
          </cell>
          <cell r="E87" t="str">
            <v>Primary</v>
          </cell>
          <cell r="RB87">
            <v>8.6140108163642068</v>
          </cell>
        </row>
        <row r="89">
          <cell r="A89" t="str">
            <v>CS</v>
          </cell>
          <cell r="C89" t="str">
            <v>FLEC_C2PA</v>
          </cell>
          <cell r="D89" t="str">
            <v>Primary</v>
          </cell>
          <cell r="E89" t="str">
            <v>Primary</v>
          </cell>
          <cell r="AJ89">
            <v>1016.5342097808765</v>
          </cell>
          <cell r="RB89">
            <v>23.927807823233906</v>
          </cell>
        </row>
        <row r="90">
          <cell r="A90" t="str">
            <v>CS</v>
          </cell>
          <cell r="C90" t="str">
            <v>FLEC_C2SA</v>
          </cell>
          <cell r="D90" t="str">
            <v>Sec.</v>
          </cell>
          <cell r="E90" t="str">
            <v>Sec.</v>
          </cell>
          <cell r="AJ90">
            <v>0</v>
          </cell>
          <cell r="RB90">
            <v>6.6997861905054945</v>
          </cell>
        </row>
        <row r="91">
          <cell r="AJ91">
            <v>1016.5342097808765</v>
          </cell>
          <cell r="RB91">
            <v>30.627594013739401</v>
          </cell>
        </row>
        <row r="93">
          <cell r="A93" t="str">
            <v>CS</v>
          </cell>
          <cell r="C93" t="str">
            <v>FLEC_CST1P</v>
          </cell>
          <cell r="D93" t="str">
            <v>Primary</v>
          </cell>
          <cell r="E93" t="str">
            <v>Primary</v>
          </cell>
          <cell r="AJ93">
            <v>0</v>
          </cell>
          <cell r="RB93">
            <v>0</v>
          </cell>
        </row>
        <row r="94">
          <cell r="A94" t="str">
            <v>CS</v>
          </cell>
          <cell r="C94" t="str">
            <v>FLEC_CT2PA</v>
          </cell>
          <cell r="D94" t="str">
            <v>Primary</v>
          </cell>
          <cell r="E94" t="str">
            <v>Primary</v>
          </cell>
          <cell r="AJ94">
            <v>236404.89899865136</v>
          </cell>
          <cell r="RB94">
            <v>28.713369387880686</v>
          </cell>
        </row>
        <row r="95">
          <cell r="A95" t="str">
            <v>CS</v>
          </cell>
          <cell r="C95" t="str">
            <v>FLEC_CST2P</v>
          </cell>
          <cell r="D95" t="str">
            <v>Primary</v>
          </cell>
          <cell r="E95" t="str">
            <v>Primary</v>
          </cell>
          <cell r="AJ95">
            <v>6723.9651509481664</v>
          </cell>
          <cell r="RB95">
            <v>3.828449251717426</v>
          </cell>
        </row>
        <row r="96">
          <cell r="AJ96">
            <v>243128.86414959954</v>
          </cell>
          <cell r="RB96">
            <v>32.541818639598112</v>
          </cell>
        </row>
        <row r="98">
          <cell r="AJ98">
            <v>244145.3983593804</v>
          </cell>
          <cell r="RB98">
            <v>71.783423469701717</v>
          </cell>
        </row>
        <row r="99">
          <cell r="AJ99">
            <v>0</v>
          </cell>
        </row>
        <row r="101">
          <cell r="A101" t="str">
            <v>IS</v>
          </cell>
          <cell r="C101" t="str">
            <v>FLEC_IS1S</v>
          </cell>
          <cell r="D101" t="str">
            <v>Sec.</v>
          </cell>
          <cell r="E101" t="str">
            <v>Sec.</v>
          </cell>
          <cell r="AJ101">
            <v>0</v>
          </cell>
          <cell r="RB101">
            <v>0</v>
          </cell>
        </row>
        <row r="102">
          <cell r="A102" t="str">
            <v>IS</v>
          </cell>
          <cell r="C102" t="str">
            <v>FLEC_IS2S</v>
          </cell>
          <cell r="D102" t="str">
            <v>Sec.</v>
          </cell>
          <cell r="E102" t="str">
            <v>Sec.</v>
          </cell>
          <cell r="AJ102">
            <v>13630.822268507405</v>
          </cell>
          <cell r="RB102">
            <v>37.828248573719712</v>
          </cell>
        </row>
        <row r="103">
          <cell r="A103" t="str">
            <v>IS</v>
          </cell>
          <cell r="C103" t="str">
            <v>FLEC_IS2SA</v>
          </cell>
          <cell r="D103" t="str">
            <v>Sec.</v>
          </cell>
          <cell r="E103" t="str">
            <v>Sec.</v>
          </cell>
          <cell r="AJ103">
            <v>52817.943039548685</v>
          </cell>
          <cell r="RB103">
            <v>71.965936310978947</v>
          </cell>
        </row>
        <row r="104">
          <cell r="AJ104">
            <v>66448.765308056085</v>
          </cell>
          <cell r="RB104">
            <v>109.79418488469867</v>
          </cell>
        </row>
        <row r="106">
          <cell r="A106" t="str">
            <v>IS</v>
          </cell>
          <cell r="C106" t="str">
            <v>FLEC_IS1P</v>
          </cell>
          <cell r="D106" t="str">
            <v>Sec.</v>
          </cell>
          <cell r="E106" t="str">
            <v>Primary</v>
          </cell>
          <cell r="AJ106">
            <v>0</v>
          </cell>
          <cell r="RB106">
            <v>0</v>
          </cell>
        </row>
        <row r="107">
          <cell r="A107" t="str">
            <v>IS</v>
          </cell>
          <cell r="C107" t="str">
            <v>FLEC_IS1P</v>
          </cell>
          <cell r="D107" t="str">
            <v>Primary</v>
          </cell>
          <cell r="E107" t="str">
            <v>Primary</v>
          </cell>
          <cell r="AJ107">
            <v>0</v>
          </cell>
          <cell r="RB107">
            <v>0</v>
          </cell>
        </row>
        <row r="108">
          <cell r="A108" t="str">
            <v>IS</v>
          </cell>
          <cell r="C108" t="str">
            <v>FLEC_IS2P</v>
          </cell>
          <cell r="D108" t="str">
            <v>Primary</v>
          </cell>
          <cell r="E108" t="str">
            <v>Primary</v>
          </cell>
          <cell r="AJ108">
            <v>79440.499523511447</v>
          </cell>
          <cell r="RB108">
            <v>56.281052756021992</v>
          </cell>
        </row>
        <row r="109">
          <cell r="A109" t="str">
            <v>IS</v>
          </cell>
          <cell r="C109" t="str">
            <v>FLEC_IS2PA</v>
          </cell>
          <cell r="D109" t="str">
            <v>Primary</v>
          </cell>
          <cell r="E109" t="str">
            <v>Primary</v>
          </cell>
          <cell r="AJ109">
            <v>262544.78058549861</v>
          </cell>
          <cell r="RB109">
            <v>151.31299429487885</v>
          </cell>
        </row>
        <row r="110">
          <cell r="AJ110">
            <v>341985.28010901005</v>
          </cell>
          <cell r="RB110">
            <v>207.59404705090083</v>
          </cell>
        </row>
        <row r="112">
          <cell r="A112" t="str">
            <v>IS</v>
          </cell>
          <cell r="C112" t="str">
            <v>FLEC_IST1S</v>
          </cell>
          <cell r="D112" t="str">
            <v>Sec.</v>
          </cell>
          <cell r="E112" t="str">
            <v>Sec.</v>
          </cell>
          <cell r="AJ112">
            <v>0</v>
          </cell>
          <cell r="RB112">
            <v>0</v>
          </cell>
        </row>
        <row r="113">
          <cell r="A113" t="str">
            <v>IS</v>
          </cell>
          <cell r="C113" t="str">
            <v>FLEC_IST2S</v>
          </cell>
          <cell r="D113" t="str">
            <v>Sec.</v>
          </cell>
          <cell r="E113" t="str">
            <v>Sec.</v>
          </cell>
          <cell r="AJ113">
            <v>19786.190240122258</v>
          </cell>
          <cell r="RB113">
            <v>23.06600522787787</v>
          </cell>
        </row>
        <row r="114">
          <cell r="A114" t="str">
            <v>IS</v>
          </cell>
          <cell r="C114" t="str">
            <v>FLEC_IT2SA</v>
          </cell>
          <cell r="D114" t="str">
            <v>Sec.</v>
          </cell>
          <cell r="E114" t="str">
            <v>Sec.</v>
          </cell>
          <cell r="AJ114">
            <v>715890.65554019657</v>
          </cell>
          <cell r="RB114">
            <v>681.83111453606989</v>
          </cell>
        </row>
        <row r="115">
          <cell r="AJ115">
            <v>735676.84578031884</v>
          </cell>
          <cell r="RB115">
            <v>704.89711976394779</v>
          </cell>
        </row>
        <row r="117">
          <cell r="A117" t="str">
            <v>IS</v>
          </cell>
          <cell r="C117" t="str">
            <v>FLEC_IST1P</v>
          </cell>
          <cell r="D117" t="str">
            <v>Primary</v>
          </cell>
          <cell r="E117" t="str">
            <v>Primary</v>
          </cell>
          <cell r="AJ117">
            <v>0</v>
          </cell>
          <cell r="RB117">
            <v>0</v>
          </cell>
        </row>
        <row r="118">
          <cell r="A118" t="str">
            <v>IS</v>
          </cell>
          <cell r="C118" t="str">
            <v>FLEC_IST2P</v>
          </cell>
          <cell r="D118" t="str">
            <v>Primary</v>
          </cell>
          <cell r="E118" t="str">
            <v>Primary</v>
          </cell>
          <cell r="AJ118">
            <v>76505.482996253486</v>
          </cell>
          <cell r="RB118">
            <v>49.822571292216203</v>
          </cell>
        </row>
        <row r="119">
          <cell r="A119" t="str">
            <v>IS</v>
          </cell>
          <cell r="C119" t="str">
            <v>FLEC_IT2PA</v>
          </cell>
          <cell r="D119" t="str">
            <v>Primary</v>
          </cell>
          <cell r="E119" t="str">
            <v>Primary</v>
          </cell>
          <cell r="AJ119">
            <v>2562909.0784456665</v>
          </cell>
          <cell r="RB119">
            <v>560.96524714198972</v>
          </cell>
        </row>
        <row r="120">
          <cell r="A120" t="str">
            <v>IS</v>
          </cell>
          <cell r="C120" t="str">
            <v>FLEC_IT2PA</v>
          </cell>
          <cell r="D120" t="str">
            <v>Tran &lt;230kV</v>
          </cell>
          <cell r="E120" t="str">
            <v>Primary</v>
          </cell>
          <cell r="AJ120">
            <v>721887.65430834901</v>
          </cell>
          <cell r="RB120">
            <v>19.37544439141741</v>
          </cell>
        </row>
        <row r="121">
          <cell r="AJ121">
            <v>3361302.2157502687</v>
          </cell>
          <cell r="RB121">
            <v>630.16326282562341</v>
          </cell>
        </row>
        <row r="124">
          <cell r="A124" t="str">
            <v>IS</v>
          </cell>
          <cell r="C124" t="str">
            <v>FLEC_IST1T</v>
          </cell>
          <cell r="D124" t="str">
            <v>Tran &lt;230kV</v>
          </cell>
          <cell r="E124" t="str">
            <v>Tran &lt;230kV</v>
          </cell>
          <cell r="AJ124">
            <v>0</v>
          </cell>
          <cell r="RB124">
            <v>0</v>
          </cell>
        </row>
        <row r="125">
          <cell r="A125" t="str">
            <v>IS</v>
          </cell>
          <cell r="C125" t="str">
            <v>FLEC_IST1T</v>
          </cell>
          <cell r="D125" t="str">
            <v>Primary</v>
          </cell>
          <cell r="E125" t="str">
            <v>Tran &lt;230kV</v>
          </cell>
          <cell r="AJ125">
            <v>0</v>
          </cell>
          <cell r="RB125">
            <v>0</v>
          </cell>
        </row>
        <row r="126">
          <cell r="A126" t="str">
            <v>IS</v>
          </cell>
          <cell r="C126" t="str">
            <v>FLEC_IST2T</v>
          </cell>
          <cell r="D126" t="str">
            <v>Tran &lt;230kV</v>
          </cell>
          <cell r="E126" t="str">
            <v>Tran &lt;230kV</v>
          </cell>
          <cell r="AJ126">
            <v>131300.37160740222</v>
          </cell>
          <cell r="RB126">
            <v>13.839603136726719</v>
          </cell>
        </row>
        <row r="127">
          <cell r="A127" t="str">
            <v>IS</v>
          </cell>
          <cell r="C127" t="str">
            <v>FLEC_IST2T</v>
          </cell>
          <cell r="D127" t="str">
            <v>Tran &lt;230kV</v>
          </cell>
          <cell r="E127" t="str">
            <v>Tran &lt;230kV</v>
          </cell>
          <cell r="AJ127">
            <v>41391.6901021702</v>
          </cell>
          <cell r="RB127">
            <v>2.7679206273453447</v>
          </cell>
        </row>
        <row r="128">
          <cell r="A128" t="str">
            <v>IS</v>
          </cell>
          <cell r="C128" t="str">
            <v>FLEC_IT2TA</v>
          </cell>
          <cell r="D128" t="str">
            <v>Tran &lt;230kV</v>
          </cell>
          <cell r="E128" t="str">
            <v>Tran &lt;230kV</v>
          </cell>
          <cell r="AJ128">
            <v>2279729.1086516278</v>
          </cell>
          <cell r="RB128">
            <v>62.739534219827803</v>
          </cell>
        </row>
        <row r="129">
          <cell r="A129" t="str">
            <v>IS</v>
          </cell>
          <cell r="C129" t="str">
            <v>FLEC_IT2TA</v>
          </cell>
          <cell r="D129" t="str">
            <v>Tran &gt;230kV</v>
          </cell>
          <cell r="E129" t="str">
            <v>Tran &gt;230kV</v>
          </cell>
          <cell r="AJ129">
            <v>457503.68455989187</v>
          </cell>
          <cell r="RB129">
            <v>10.149042300266263</v>
          </cell>
        </row>
        <row r="130">
          <cell r="AJ130">
            <v>2909924.8549210923</v>
          </cell>
          <cell r="RB130">
            <v>89.496100284166133</v>
          </cell>
        </row>
        <row r="132">
          <cell r="AJ132">
            <v>7415337.9618687462</v>
          </cell>
          <cell r="RB132">
            <v>1741.944714809337</v>
          </cell>
        </row>
        <row r="133">
          <cell r="AJ133">
            <v>0</v>
          </cell>
        </row>
        <row r="135">
          <cell r="A135" t="str">
            <v>LS</v>
          </cell>
          <cell r="C135" t="str">
            <v>FLEO_LS1U</v>
          </cell>
          <cell r="D135" t="str">
            <v>Sec.</v>
          </cell>
          <cell r="E135" t="str">
            <v>Sec.</v>
          </cell>
          <cell r="RB135">
            <v>758697.36378782475</v>
          </cell>
        </row>
        <row r="136">
          <cell r="A136" t="str">
            <v>LS</v>
          </cell>
          <cell r="C136" t="str">
            <v>FLEO_LS1U1</v>
          </cell>
          <cell r="D136" t="str">
            <v>Sec.</v>
          </cell>
          <cell r="E136" t="str">
            <v>Sec.</v>
          </cell>
          <cell r="RB136">
            <v>1105.6608341037434</v>
          </cell>
        </row>
        <row r="137">
          <cell r="RB137">
            <v>759803.02462192846</v>
          </cell>
        </row>
        <row r="139">
          <cell r="A139" t="str">
            <v>LS</v>
          </cell>
          <cell r="C139" t="str">
            <v>FLEO_LS1M</v>
          </cell>
          <cell r="D139" t="str">
            <v>Sec.</v>
          </cell>
          <cell r="E139" t="str">
            <v>Sec.</v>
          </cell>
          <cell r="RB139">
            <v>12820.593836914873</v>
          </cell>
        </row>
        <row r="141">
          <cell r="RB141">
            <v>772623.61845884332</v>
          </cell>
        </row>
        <row r="142">
          <cell r="AJ142" t="str">
            <v>Specified Standby Capacity</v>
          </cell>
        </row>
        <row r="144">
          <cell r="A144" t="str">
            <v>SS-1</v>
          </cell>
          <cell r="C144" t="str">
            <v>FLEC_SS1P</v>
          </cell>
          <cell r="D144" t="str">
            <v>Primary</v>
          </cell>
          <cell r="E144" t="str">
            <v>Primary</v>
          </cell>
          <cell r="AJ144">
            <v>253660.31999999995</v>
          </cell>
          <cell r="RB144">
            <v>2.8734281624001321</v>
          </cell>
        </row>
        <row r="145">
          <cell r="A145" t="str">
            <v>SS-1</v>
          </cell>
          <cell r="C145" t="str">
            <v>FLEC_SS1PA</v>
          </cell>
          <cell r="D145" t="str">
            <v>Primary</v>
          </cell>
          <cell r="E145" t="str">
            <v>Primary</v>
          </cell>
          <cell r="AJ145">
            <v>0</v>
          </cell>
          <cell r="RB145">
            <v>38.312375498668416</v>
          </cell>
        </row>
        <row r="146">
          <cell r="A146" t="str">
            <v>SS-1</v>
          </cell>
          <cell r="C146" t="str">
            <v>FLEC_SS1PA</v>
          </cell>
          <cell r="D146" t="str">
            <v>Tran &lt;230kV</v>
          </cell>
          <cell r="E146" t="str">
            <v>Primary</v>
          </cell>
          <cell r="AJ146">
            <v>0</v>
          </cell>
          <cell r="RB146">
            <v>9.578093874667104</v>
          </cell>
        </row>
        <row r="147">
          <cell r="A147" t="str">
            <v>SS-1</v>
          </cell>
          <cell r="C147" t="str">
            <v>FLEC_SS1T</v>
          </cell>
          <cell r="D147" t="str">
            <v>Tran &lt;230kV</v>
          </cell>
          <cell r="E147" t="str">
            <v>Tran &lt;230kV</v>
          </cell>
          <cell r="AJ147">
            <v>272832</v>
          </cell>
          <cell r="RB147">
            <v>3.8312375498668425</v>
          </cell>
        </row>
        <row r="148">
          <cell r="A148" t="str">
            <v>SS-1</v>
          </cell>
          <cell r="C148" t="str">
            <v>FLEC_SS1TA</v>
          </cell>
          <cell r="D148" t="str">
            <v>Tran &lt;230kV</v>
          </cell>
          <cell r="E148" t="str">
            <v>Tran &lt;230kV</v>
          </cell>
          <cell r="AJ148">
            <v>0</v>
          </cell>
          <cell r="RB148">
            <v>51.721706923202362</v>
          </cell>
        </row>
        <row r="150">
          <cell r="AJ150">
            <v>526492.31999999995</v>
          </cell>
          <cell r="RB150">
            <v>106.31684200880485</v>
          </cell>
        </row>
        <row r="151">
          <cell r="AJ151">
            <v>0</v>
          </cell>
        </row>
        <row r="153">
          <cell r="A153" t="str">
            <v>SS-2</v>
          </cell>
          <cell r="C153" t="str">
            <v>FLEC_SS2P</v>
          </cell>
          <cell r="D153" t="str">
            <v>Primary</v>
          </cell>
          <cell r="E153" t="str">
            <v>Primary</v>
          </cell>
          <cell r="AJ153">
            <v>339240</v>
          </cell>
          <cell r="RB153">
            <v>0.88697010620625105</v>
          </cell>
        </row>
        <row r="154">
          <cell r="A154" t="str">
            <v>SS-2</v>
          </cell>
          <cell r="C154" t="str">
            <v>FLEC_SS2PA</v>
          </cell>
          <cell r="D154" t="str">
            <v>Primary</v>
          </cell>
          <cell r="E154" t="str">
            <v>Primary</v>
          </cell>
          <cell r="AJ154">
            <v>0</v>
          </cell>
          <cell r="RB154">
            <v>9.7566711682687632</v>
          </cell>
        </row>
        <row r="155">
          <cell r="A155" t="str">
            <v>SS-2</v>
          </cell>
          <cell r="C155" t="str">
            <v>FLEC_SS2PA</v>
          </cell>
          <cell r="D155" t="str">
            <v>Tran &lt;230kV</v>
          </cell>
          <cell r="E155" t="str">
            <v>Primary</v>
          </cell>
          <cell r="AJ155">
            <v>0</v>
          </cell>
          <cell r="RB155">
            <v>10.643641274475012</v>
          </cell>
        </row>
        <row r="156">
          <cell r="A156" t="str">
            <v>SS-2</v>
          </cell>
          <cell r="C156" t="str">
            <v>FLEC_SS2T</v>
          </cell>
          <cell r="D156" t="str">
            <v>Tran &lt;230kV</v>
          </cell>
          <cell r="E156" t="str">
            <v>Tran &lt;230kV</v>
          </cell>
          <cell r="AJ156">
            <v>120000</v>
          </cell>
          <cell r="RB156">
            <v>0.88697010620625105</v>
          </cell>
        </row>
        <row r="157">
          <cell r="A157" t="str">
            <v>SS-2</v>
          </cell>
          <cell r="C157" t="str">
            <v>FLEC_SS2TA</v>
          </cell>
          <cell r="D157" t="str">
            <v>Tran &lt;230kV</v>
          </cell>
          <cell r="E157" t="str">
            <v>Tran &lt;230kV</v>
          </cell>
          <cell r="AJ157">
            <v>0</v>
          </cell>
          <cell r="RB157">
            <v>8.8697010620625107</v>
          </cell>
        </row>
        <row r="159">
          <cell r="AJ159">
            <v>459240</v>
          </cell>
          <cell r="RB159">
            <v>31.043953717218788</v>
          </cell>
        </row>
        <row r="160">
          <cell r="AJ160">
            <v>0</v>
          </cell>
        </row>
        <row r="162">
          <cell r="A162" t="str">
            <v>SS-3</v>
          </cell>
          <cell r="C162" t="str">
            <v>FLEC_SS3P</v>
          </cell>
          <cell r="D162" t="str">
            <v>Primary</v>
          </cell>
          <cell r="E162" t="str">
            <v>Primary</v>
          </cell>
          <cell r="AJ162">
            <v>296317.70399999997</v>
          </cell>
          <cell r="RB162">
            <v>0.86240634176543973</v>
          </cell>
        </row>
        <row r="163">
          <cell r="A163" t="str">
            <v>SS-3</v>
          </cell>
          <cell r="C163" t="str">
            <v>FLEC_SS3PA</v>
          </cell>
          <cell r="D163" t="str">
            <v>Primary</v>
          </cell>
          <cell r="E163" t="str">
            <v>Primary</v>
          </cell>
          <cell r="AJ163">
            <v>0</v>
          </cell>
          <cell r="RB163">
            <v>9.4864697594198386</v>
          </cell>
        </row>
        <row r="165">
          <cell r="AJ165">
            <v>296317.70399999997</v>
          </cell>
          <cell r="RB165">
            <v>10.348876101185278</v>
          </cell>
        </row>
        <row r="166">
          <cell r="AJ166">
            <v>0</v>
          </cell>
        </row>
        <row r="169">
          <cell r="RB169">
            <v>0</v>
          </cell>
        </row>
        <row r="171">
          <cell r="AJ171">
            <v>45792712.209906347</v>
          </cell>
          <cell r="RB171">
            <v>24423892.046627618</v>
          </cell>
        </row>
        <row r="174">
          <cell r="C174" t="str">
            <v>Use of Standby Volumes for SS Rates</v>
          </cell>
        </row>
        <row r="175">
          <cell r="C175" t="str">
            <v>FLEC_CG095</v>
          </cell>
        </row>
        <row r="176">
          <cell r="C176" t="str">
            <v>FLEC_CG096</v>
          </cell>
        </row>
        <row r="177">
          <cell r="C177" t="str">
            <v>FLEC_CG296</v>
          </cell>
        </row>
        <row r="178">
          <cell r="C178" t="str">
            <v>Revenue Calculation exludes the Powef Factor Revenue</v>
          </cell>
        </row>
        <row r="179">
          <cell r="C179" t="str">
            <v>Needs a colmn added in the monthly BC File</v>
          </cell>
        </row>
        <row r="180">
          <cell r="C180" t="str">
            <v>BC Report KW for SS-1 + SS-2 + SS-3 versus Specified Standby Capacity</v>
          </cell>
        </row>
        <row r="181">
          <cell r="C181" t="str">
            <v>Daily Demands from tab SS</v>
          </cell>
        </row>
      </sheetData>
      <sheetData sheetId="26">
        <row r="1">
          <cell r="A1" t="str">
            <v>This tab calculates the details for the E-13c schedules by rate class and various other schedules.  Make sure links are correct and checks in yellow at the end of each rate class are zero.</v>
          </cell>
        </row>
        <row r="2">
          <cell r="A2">
            <v>1</v>
          </cell>
          <cell r="C2">
            <v>2</v>
          </cell>
          <cell r="D2">
            <v>3</v>
          </cell>
          <cell r="E2">
            <v>4</v>
          </cell>
          <cell r="AJ2">
            <v>35</v>
          </cell>
          <cell r="RB2">
            <v>469</v>
          </cell>
        </row>
        <row r="3">
          <cell r="A3" t="str">
            <v>Year 4</v>
          </cell>
          <cell r="RB3" t="str">
            <v>Forecast</v>
          </cell>
        </row>
        <row r="4">
          <cell r="RB4" t="str">
            <v>Bills</v>
          </cell>
        </row>
        <row r="5">
          <cell r="A5" t="str">
            <v>DEF Retail Forecast by Rate Code</v>
          </cell>
        </row>
        <row r="7">
          <cell r="A7" t="str">
            <v>Rate</v>
          </cell>
          <cell r="C7" t="str">
            <v>Rate</v>
          </cell>
          <cell r="AJ7" t="str">
            <v>Base</v>
          </cell>
        </row>
        <row r="8">
          <cell r="A8" t="str">
            <v>Class</v>
          </cell>
          <cell r="C8" t="str">
            <v>Category</v>
          </cell>
          <cell r="D8" t="str">
            <v>Del</v>
          </cell>
          <cell r="E8" t="str">
            <v>Met</v>
          </cell>
          <cell r="AJ8" t="str">
            <v>KW</v>
          </cell>
          <cell r="RB8" t="str">
            <v>Total</v>
          </cell>
        </row>
        <row r="9">
          <cell r="A9" t="str">
            <v>RS-1</v>
          </cell>
          <cell r="C9" t="str">
            <v>FLER_RS-1</v>
          </cell>
          <cell r="D9" t="str">
            <v>Sec.</v>
          </cell>
          <cell r="E9" t="str">
            <v>Sec.</v>
          </cell>
          <cell r="RB9">
            <v>16227792.644625204</v>
          </cell>
        </row>
        <row r="10">
          <cell r="A10" t="str">
            <v>RS-1</v>
          </cell>
          <cell r="C10" t="str">
            <v>FLER_RSL1</v>
          </cell>
          <cell r="D10" t="str">
            <v>Sec.</v>
          </cell>
          <cell r="E10" t="str">
            <v>Sec.</v>
          </cell>
          <cell r="RB10">
            <v>5465830.4562813323</v>
          </cell>
        </row>
        <row r="11">
          <cell r="A11" t="str">
            <v>RS-1</v>
          </cell>
          <cell r="C11" t="str">
            <v>FLER_RS1FP</v>
          </cell>
          <cell r="D11" t="str">
            <v>Sec.</v>
          </cell>
          <cell r="E11" t="str">
            <v>Sec.</v>
          </cell>
          <cell r="RB11">
            <v>5.2913779581049765</v>
          </cell>
        </row>
        <row r="12">
          <cell r="A12" t="str">
            <v>RS-1</v>
          </cell>
          <cell r="C12" t="str">
            <v>FLER_RSS1</v>
          </cell>
          <cell r="D12" t="str">
            <v>Sec.</v>
          </cell>
          <cell r="E12" t="str">
            <v>Sec.</v>
          </cell>
          <cell r="RB12">
            <v>303.72509479522569</v>
          </cell>
        </row>
        <row r="13">
          <cell r="A13" t="str">
            <v>RS-1</v>
          </cell>
          <cell r="C13" t="str">
            <v>FLER_RSSL1</v>
          </cell>
          <cell r="D13" t="str">
            <v>Sec.</v>
          </cell>
          <cell r="E13" t="str">
            <v>Sec.</v>
          </cell>
          <cell r="RB13">
            <v>113.2354883034465</v>
          </cell>
        </row>
        <row r="14">
          <cell r="RB14">
            <v>21694045.352867592</v>
          </cell>
        </row>
        <row r="22">
          <cell r="A22" t="str">
            <v>RS-1</v>
          </cell>
          <cell r="C22" t="str">
            <v>FLER_RST1</v>
          </cell>
          <cell r="D22" t="str">
            <v>Sec.</v>
          </cell>
          <cell r="E22" t="str">
            <v>Sec.</v>
          </cell>
          <cell r="RB22">
            <v>35.98137011511384</v>
          </cell>
        </row>
        <row r="23">
          <cell r="A23" t="str">
            <v>RS-1</v>
          </cell>
          <cell r="C23" t="str">
            <v>FLER_RST1A</v>
          </cell>
          <cell r="D23" t="str">
            <v>Sec.</v>
          </cell>
          <cell r="E23" t="str">
            <v>Sec.</v>
          </cell>
          <cell r="RB23">
            <v>2296.4580338175601</v>
          </cell>
        </row>
        <row r="24">
          <cell r="RB24">
            <v>2332.4394039326739</v>
          </cell>
        </row>
        <row r="27">
          <cell r="RB27">
            <v>21696377.792271525</v>
          </cell>
        </row>
        <row r="30">
          <cell r="A30" t="str">
            <v>GS-1</v>
          </cell>
          <cell r="C30" t="str">
            <v>FLEC_GS1S</v>
          </cell>
          <cell r="D30" t="str">
            <v>Sec.</v>
          </cell>
          <cell r="E30" t="str">
            <v>Sec.</v>
          </cell>
          <cell r="RB30">
            <v>1563574.3129887516</v>
          </cell>
        </row>
        <row r="31">
          <cell r="A31" t="str">
            <v>GS-1</v>
          </cell>
          <cell r="C31" t="str">
            <v>FLEC_GS1UM</v>
          </cell>
          <cell r="D31" t="str">
            <v>Sec.</v>
          </cell>
          <cell r="E31" t="str">
            <v>Sec.</v>
          </cell>
          <cell r="RB31">
            <v>5595.4323882179406</v>
          </cell>
        </row>
        <row r="32">
          <cell r="RB32">
            <v>1569169.7453769695</v>
          </cell>
        </row>
        <row r="34">
          <cell r="A34" t="str">
            <v>GS-1</v>
          </cell>
          <cell r="C34" t="str">
            <v>FLEC_GS1P</v>
          </cell>
          <cell r="D34" t="str">
            <v>Primary</v>
          </cell>
          <cell r="E34" t="str">
            <v>Primary</v>
          </cell>
          <cell r="RB34">
            <v>1608.2327165995773</v>
          </cell>
        </row>
        <row r="36">
          <cell r="A36" t="str">
            <v>GS-1</v>
          </cell>
          <cell r="C36" t="str">
            <v>FLEC_GST1S</v>
          </cell>
          <cell r="D36" t="str">
            <v>Sec.</v>
          </cell>
          <cell r="E36" t="str">
            <v>Sec.</v>
          </cell>
          <cell r="AJ36" t="str">
            <v xml:space="preserve"> </v>
          </cell>
          <cell r="RB36">
            <v>545.89584275296988</v>
          </cell>
        </row>
        <row r="37">
          <cell r="A37" t="str">
            <v>GS-1</v>
          </cell>
          <cell r="C37" t="str">
            <v>FLEC_GT1SA</v>
          </cell>
          <cell r="D37" t="str">
            <v>Sec.</v>
          </cell>
          <cell r="E37" t="str">
            <v>Sec.</v>
          </cell>
          <cell r="AJ37" t="str">
            <v xml:space="preserve"> </v>
          </cell>
          <cell r="RB37">
            <v>15020.972119204473</v>
          </cell>
        </row>
        <row r="38">
          <cell r="A38" t="str">
            <v>`</v>
          </cell>
          <cell r="AJ38" t="str">
            <v xml:space="preserve"> </v>
          </cell>
          <cell r="RB38">
            <v>15566.867961957443</v>
          </cell>
        </row>
        <row r="39">
          <cell r="AJ39" t="str">
            <v xml:space="preserve"> </v>
          </cell>
        </row>
        <row r="40">
          <cell r="A40" t="str">
            <v>GS-1</v>
          </cell>
          <cell r="C40" t="str">
            <v>FLEC_GT1PA</v>
          </cell>
          <cell r="D40" t="str">
            <v>Primary</v>
          </cell>
          <cell r="E40" t="str">
            <v>Primary</v>
          </cell>
          <cell r="AJ40" t="str">
            <v xml:space="preserve"> </v>
          </cell>
          <cell r="RB40">
            <v>173.78338879006418</v>
          </cell>
        </row>
        <row r="41">
          <cell r="A41" t="str">
            <v>GS-1</v>
          </cell>
          <cell r="C41" t="str">
            <v>FLEC_GST1P</v>
          </cell>
          <cell r="D41" t="str">
            <v>Primary</v>
          </cell>
          <cell r="E41" t="str">
            <v>Primary</v>
          </cell>
          <cell r="AJ41" t="str">
            <v xml:space="preserve"> </v>
          </cell>
          <cell r="RB41">
            <v>31.418465769955105</v>
          </cell>
        </row>
        <row r="42">
          <cell r="AJ42" t="str">
            <v xml:space="preserve"> </v>
          </cell>
          <cell r="RB42">
            <v>205.20185456001929</v>
          </cell>
        </row>
        <row r="43">
          <cell r="AJ43" t="str">
            <v xml:space="preserve"> </v>
          </cell>
        </row>
        <row r="44">
          <cell r="A44" t="str">
            <v>GS-1</v>
          </cell>
          <cell r="C44" t="str">
            <v>FLEC_GT1TA</v>
          </cell>
          <cell r="D44" t="str">
            <v>Tran &lt;230kV</v>
          </cell>
          <cell r="E44" t="str">
            <v>Tran &lt;230kV</v>
          </cell>
          <cell r="AJ44" t="str">
            <v xml:space="preserve"> </v>
          </cell>
          <cell r="RB44">
            <v>23.563849327466329</v>
          </cell>
        </row>
        <row r="47">
          <cell r="RB47">
            <v>1586573.6117594137</v>
          </cell>
        </row>
        <row r="50">
          <cell r="A50" t="str">
            <v>GS-2</v>
          </cell>
          <cell r="C50" t="str">
            <v>FLEC_GS2UM</v>
          </cell>
          <cell r="D50" t="str">
            <v>Sec.</v>
          </cell>
          <cell r="E50" t="str">
            <v>Sec.</v>
          </cell>
          <cell r="RB50">
            <v>10224.542495481846</v>
          </cell>
        </row>
        <row r="52">
          <cell r="A52" t="str">
            <v>GS-2</v>
          </cell>
          <cell r="C52" t="str">
            <v>FLEC_GS2</v>
          </cell>
          <cell r="D52" t="str">
            <v>Sec.</v>
          </cell>
          <cell r="E52" t="str">
            <v>Sec.</v>
          </cell>
          <cell r="RB52">
            <v>168887.72794582756</v>
          </cell>
        </row>
        <row r="54">
          <cell r="RB54">
            <v>179112.2704413094</v>
          </cell>
        </row>
        <row r="57">
          <cell r="A57" t="str">
            <v>GSD</v>
          </cell>
          <cell r="C57" t="str">
            <v>FLEC_GSDS</v>
          </cell>
          <cell r="D57" t="str">
            <v>Sec.</v>
          </cell>
          <cell r="E57" t="str">
            <v>Sec.</v>
          </cell>
          <cell r="AJ57">
            <v>69676.207635147963</v>
          </cell>
          <cell r="RB57">
            <v>3914.9959358289989</v>
          </cell>
        </row>
        <row r="58">
          <cell r="A58" t="str">
            <v>GSD</v>
          </cell>
          <cell r="C58" t="str">
            <v>FLEC_GSDSA</v>
          </cell>
          <cell r="D58" t="str">
            <v>Sec.</v>
          </cell>
          <cell r="E58" t="str">
            <v>Sec.</v>
          </cell>
          <cell r="AJ58">
            <v>10655700.395736793</v>
          </cell>
          <cell r="RB58">
            <v>398649.55881674599</v>
          </cell>
        </row>
        <row r="59">
          <cell r="AJ59">
            <v>10725376.603371941</v>
          </cell>
          <cell r="RB59">
            <v>402564.554752575</v>
          </cell>
        </row>
        <row r="61">
          <cell r="A61" t="str">
            <v>GSD</v>
          </cell>
          <cell r="C61" t="str">
            <v>FLEC_GSDP</v>
          </cell>
          <cell r="D61" t="str">
            <v>Primary</v>
          </cell>
          <cell r="E61" t="str">
            <v>Primary</v>
          </cell>
          <cell r="AJ61">
            <v>11874.817864992636</v>
          </cell>
          <cell r="RB61">
            <v>327.26919151070541</v>
          </cell>
        </row>
        <row r="62">
          <cell r="A62" t="str">
            <v>GSD</v>
          </cell>
          <cell r="C62" t="str">
            <v>FLEC_GSDPA</v>
          </cell>
          <cell r="D62" t="str">
            <v>Sec.</v>
          </cell>
          <cell r="E62" t="str">
            <v>Primary</v>
          </cell>
          <cell r="AJ62">
            <v>0</v>
          </cell>
          <cell r="RB62">
            <v>0</v>
          </cell>
        </row>
        <row r="63">
          <cell r="A63" t="str">
            <v>GSD</v>
          </cell>
          <cell r="C63" t="str">
            <v>FLEC_GSDPA</v>
          </cell>
          <cell r="D63" t="str">
            <v>Primary</v>
          </cell>
          <cell r="E63" t="str">
            <v>Primary</v>
          </cell>
          <cell r="AJ63">
            <v>260080.24500838146</v>
          </cell>
          <cell r="RB63">
            <v>1261.1588470365812</v>
          </cell>
        </row>
        <row r="64">
          <cell r="AJ64">
            <v>271955.06287337409</v>
          </cell>
          <cell r="RB64">
            <v>1588.4280385472866</v>
          </cell>
        </row>
        <row r="66">
          <cell r="A66" t="str">
            <v>GSD</v>
          </cell>
          <cell r="C66" t="str">
            <v>FLEC_GSDT</v>
          </cell>
          <cell r="D66" t="str">
            <v>Tran &lt;230kV</v>
          </cell>
          <cell r="E66" t="str">
            <v>Tran &lt;230kV</v>
          </cell>
          <cell r="AJ66">
            <v>60.283099174207145</v>
          </cell>
          <cell r="RB66">
            <v>23.449194407309111</v>
          </cell>
        </row>
        <row r="67">
          <cell r="A67" t="str">
            <v>GSD</v>
          </cell>
          <cell r="C67" t="str">
            <v>FLEC_GSDTA</v>
          </cell>
          <cell r="D67" t="str">
            <v>Tran &lt;230kV</v>
          </cell>
          <cell r="E67" t="str">
            <v>Tran &lt;230kV</v>
          </cell>
          <cell r="AJ67">
            <v>328.39317052227375</v>
          </cell>
          <cell r="RB67">
            <v>14.273422682709892</v>
          </cell>
        </row>
        <row r="68">
          <cell r="AJ68">
            <v>388.67626969648092</v>
          </cell>
          <cell r="RB68">
            <v>37.722617090019</v>
          </cell>
        </row>
        <row r="70">
          <cell r="A70" t="str">
            <v>GSD</v>
          </cell>
          <cell r="C70" t="str">
            <v>FLEC_GSDTS</v>
          </cell>
          <cell r="D70" t="str">
            <v>Sec.</v>
          </cell>
          <cell r="E70" t="str">
            <v>Sec.</v>
          </cell>
          <cell r="AJ70">
            <v>76276.104903264219</v>
          </cell>
          <cell r="RB70">
            <v>1155.1277071078791</v>
          </cell>
        </row>
        <row r="71">
          <cell r="A71" t="str">
            <v>GSD</v>
          </cell>
          <cell r="C71" t="str">
            <v>FLEC_GDTSA</v>
          </cell>
          <cell r="D71" t="str">
            <v>Sec.</v>
          </cell>
          <cell r="E71" t="str">
            <v>Sec.</v>
          </cell>
          <cell r="AJ71">
            <v>20832191.531107612</v>
          </cell>
          <cell r="RB71">
            <v>181181.72988336126</v>
          </cell>
        </row>
        <row r="72">
          <cell r="A72" t="str">
            <v>GSD</v>
          </cell>
          <cell r="C72" t="str">
            <v>FLEC_GDTSA</v>
          </cell>
          <cell r="D72" t="str">
            <v>Primary</v>
          </cell>
          <cell r="E72" t="str">
            <v>Sec.</v>
          </cell>
          <cell r="AJ72">
            <v>9484.8137018711041</v>
          </cell>
          <cell r="RB72">
            <v>10.19530191622135</v>
          </cell>
        </row>
        <row r="73">
          <cell r="AJ73">
            <v>20917952.44971275</v>
          </cell>
          <cell r="RB73">
            <v>182347.05289238534</v>
          </cell>
        </row>
        <row r="75">
          <cell r="A75" t="str">
            <v>GSD</v>
          </cell>
          <cell r="C75" t="str">
            <v>FLEC_GDTPA</v>
          </cell>
          <cell r="D75" t="str">
            <v>Sec.</v>
          </cell>
          <cell r="E75" t="str">
            <v>Primary</v>
          </cell>
          <cell r="AJ75">
            <v>0</v>
          </cell>
          <cell r="RB75">
            <v>0</v>
          </cell>
        </row>
        <row r="76">
          <cell r="A76" t="str">
            <v>GSD</v>
          </cell>
          <cell r="C76" t="str">
            <v>FLEC_GDTPA</v>
          </cell>
          <cell r="D76" t="str">
            <v>Primary</v>
          </cell>
          <cell r="E76" t="str">
            <v>Primary</v>
          </cell>
          <cell r="AJ76">
            <v>4057261.7170869382</v>
          </cell>
          <cell r="RB76">
            <v>2814.9228590687153</v>
          </cell>
        </row>
        <row r="77">
          <cell r="A77" t="str">
            <v>GSD</v>
          </cell>
          <cell r="C77" t="str">
            <v>FLEC_GSDTP</v>
          </cell>
          <cell r="D77" t="str">
            <v>Primary</v>
          </cell>
          <cell r="E77" t="str">
            <v>Primary</v>
          </cell>
          <cell r="AJ77">
            <v>82174.498394158378</v>
          </cell>
          <cell r="RB77">
            <v>144.77328721034323</v>
          </cell>
        </row>
        <row r="78">
          <cell r="AJ78">
            <v>4139436.2154810964</v>
          </cell>
          <cell r="RB78">
            <v>2959.6961462790587</v>
          </cell>
        </row>
        <row r="80">
          <cell r="A80" t="str">
            <v>GSD</v>
          </cell>
          <cell r="C80" t="str">
            <v>FLEC_GSDTT</v>
          </cell>
          <cell r="D80" t="str">
            <v>Tran &lt;230kV</v>
          </cell>
          <cell r="E80" t="str">
            <v>Tran &lt;230kV</v>
          </cell>
          <cell r="AJ80">
            <v>24.268073993010162</v>
          </cell>
          <cell r="RB80">
            <v>2.0390603832442706</v>
          </cell>
        </row>
        <row r="81">
          <cell r="A81" t="str">
            <v>GSD</v>
          </cell>
          <cell r="C81" t="str">
            <v>FLEC_GDTTA</v>
          </cell>
          <cell r="D81" t="str">
            <v>Tran &lt;230kV</v>
          </cell>
          <cell r="E81" t="str">
            <v>Tran &lt;230kV</v>
          </cell>
          <cell r="AJ81">
            <v>979598.15138106921</v>
          </cell>
          <cell r="RB81">
            <v>19.371073640820565</v>
          </cell>
        </row>
        <row r="82">
          <cell r="AJ82">
            <v>979622.41945506225</v>
          </cell>
          <cell r="RB82">
            <v>21.410134024064835</v>
          </cell>
        </row>
        <row r="84">
          <cell r="AJ84">
            <v>37034731.427163921</v>
          </cell>
          <cell r="RB84">
            <v>589518.86458090087</v>
          </cell>
        </row>
        <row r="85">
          <cell r="AJ85">
            <v>0</v>
          </cell>
        </row>
        <row r="87">
          <cell r="A87" t="str">
            <v>CS</v>
          </cell>
          <cell r="C87" t="str">
            <v>FLEC_CS2P</v>
          </cell>
          <cell r="D87" t="str">
            <v>Primary</v>
          </cell>
          <cell r="E87" t="str">
            <v>Primary</v>
          </cell>
          <cell r="RB87">
            <v>8.6649000228443356</v>
          </cell>
        </row>
        <row r="89">
          <cell r="A89" t="str">
            <v>CS</v>
          </cell>
          <cell r="C89" t="str">
            <v>FLEC_C2PA</v>
          </cell>
          <cell r="D89" t="str">
            <v>Primary</v>
          </cell>
          <cell r="E89" t="str">
            <v>Primary</v>
          </cell>
          <cell r="AJ89">
            <v>1026.8160018500841</v>
          </cell>
          <cell r="RB89">
            <v>24.069166730123161</v>
          </cell>
        </row>
        <row r="90">
          <cell r="A90" t="str">
            <v>CS</v>
          </cell>
          <cell r="C90" t="str">
            <v>FLEC_C2SA</v>
          </cell>
          <cell r="D90" t="str">
            <v>Sec.</v>
          </cell>
          <cell r="E90" t="str">
            <v>Sec.</v>
          </cell>
          <cell r="AJ90">
            <v>0</v>
          </cell>
          <cell r="RB90">
            <v>6.7393666844344846</v>
          </cell>
        </row>
        <row r="91">
          <cell r="AJ91">
            <v>1026.8160018500841</v>
          </cell>
          <cell r="RB91">
            <v>30.808533414557644</v>
          </cell>
        </row>
        <row r="93">
          <cell r="A93" t="str">
            <v>CS</v>
          </cell>
          <cell r="C93" t="str">
            <v>FLEC_CST1P</v>
          </cell>
          <cell r="D93" t="str">
            <v>Primary</v>
          </cell>
          <cell r="E93" t="str">
            <v>Primary</v>
          </cell>
          <cell r="AJ93">
            <v>0</v>
          </cell>
          <cell r="RB93">
            <v>0</v>
          </cell>
        </row>
        <row r="94">
          <cell r="A94" t="str">
            <v>CS</v>
          </cell>
          <cell r="C94" t="str">
            <v>FLEC_CT2PA</v>
          </cell>
          <cell r="D94" t="str">
            <v>Primary</v>
          </cell>
          <cell r="E94" t="str">
            <v>Primary</v>
          </cell>
          <cell r="AJ94">
            <v>238796.02955998303</v>
          </cell>
          <cell r="RB94">
            <v>28.883000076147784</v>
          </cell>
        </row>
        <row r="95">
          <cell r="A95" t="str">
            <v>CS</v>
          </cell>
          <cell r="C95" t="str">
            <v>FLEC_CST2P</v>
          </cell>
          <cell r="D95" t="str">
            <v>Primary</v>
          </cell>
          <cell r="E95" t="str">
            <v>Primary</v>
          </cell>
          <cell r="AJ95">
            <v>6791.9750722055633</v>
          </cell>
          <cell r="RB95">
            <v>3.8510666768197055</v>
          </cell>
        </row>
        <row r="96">
          <cell r="AJ96">
            <v>245588.00463218859</v>
          </cell>
          <cell r="RB96">
            <v>32.734066752967493</v>
          </cell>
        </row>
        <row r="98">
          <cell r="AJ98">
            <v>246614.82063403865</v>
          </cell>
          <cell r="RB98">
            <v>72.207500190369473</v>
          </cell>
        </row>
        <row r="99">
          <cell r="AJ99">
            <v>0</v>
          </cell>
        </row>
        <row r="101">
          <cell r="A101" t="str">
            <v>IS</v>
          </cell>
          <cell r="C101" t="str">
            <v>FLEC_IS1S</v>
          </cell>
          <cell r="D101" t="str">
            <v>Sec.</v>
          </cell>
          <cell r="E101" t="str">
            <v>Sec.</v>
          </cell>
          <cell r="AJ101">
            <v>0</v>
          </cell>
          <cell r="RB101">
            <v>0</v>
          </cell>
        </row>
        <row r="102">
          <cell r="A102" t="str">
            <v>IS</v>
          </cell>
          <cell r="C102" t="str">
            <v>FLEC_IS2S</v>
          </cell>
          <cell r="D102" t="str">
            <v>Sec.</v>
          </cell>
          <cell r="E102" t="str">
            <v>Sec.</v>
          </cell>
          <cell r="AJ102">
            <v>13809.439677316153</v>
          </cell>
          <cell r="RB102">
            <v>37.873540709448584</v>
          </cell>
        </row>
        <row r="103">
          <cell r="A103" t="str">
            <v>IS</v>
          </cell>
          <cell r="C103" t="str">
            <v>FLEC_IS2SA</v>
          </cell>
          <cell r="D103" t="str">
            <v>Sec.</v>
          </cell>
          <cell r="E103" t="str">
            <v>Sec.</v>
          </cell>
          <cell r="AJ103">
            <v>53510.065931219651</v>
          </cell>
          <cell r="RB103">
            <v>72.052101837487541</v>
          </cell>
        </row>
        <row r="104">
          <cell r="AJ104">
            <v>67319.505608535808</v>
          </cell>
          <cell r="RB104">
            <v>109.92564254693613</v>
          </cell>
        </row>
        <row r="106">
          <cell r="A106" t="str">
            <v>IS</v>
          </cell>
          <cell r="C106" t="str">
            <v>FLEC_IS1P</v>
          </cell>
          <cell r="D106" t="str">
            <v>Sec.</v>
          </cell>
          <cell r="E106" t="str">
            <v>Primary</v>
          </cell>
          <cell r="AJ106">
            <v>0</v>
          </cell>
          <cell r="RB106">
            <v>0</v>
          </cell>
        </row>
        <row r="107">
          <cell r="A107" t="str">
            <v>IS</v>
          </cell>
          <cell r="C107" t="str">
            <v>FLEC_IS1P</v>
          </cell>
          <cell r="D107" t="str">
            <v>Primary</v>
          </cell>
          <cell r="E107" t="str">
            <v>Primary</v>
          </cell>
          <cell r="AJ107">
            <v>0</v>
          </cell>
          <cell r="RB107">
            <v>0</v>
          </cell>
        </row>
        <row r="108">
          <cell r="A108" t="str">
            <v>IS</v>
          </cell>
          <cell r="C108" t="str">
            <v>FLEC_IS2P</v>
          </cell>
          <cell r="D108" t="str">
            <v>Primary</v>
          </cell>
          <cell r="E108" t="str">
            <v>Primary</v>
          </cell>
          <cell r="AJ108">
            <v>80481.482664502546</v>
          </cell>
          <cell r="RB108">
            <v>56.348438616496665</v>
          </cell>
        </row>
        <row r="109">
          <cell r="A109" t="str">
            <v>IS</v>
          </cell>
          <cell r="C109" t="str">
            <v>FLEC_IS2PA</v>
          </cell>
          <cell r="D109" t="str">
            <v>Primary</v>
          </cell>
          <cell r="E109" t="str">
            <v>Primary</v>
          </cell>
          <cell r="AJ109">
            <v>265985.15032113733</v>
          </cell>
          <cell r="RB109">
            <v>151.49416283779433</v>
          </cell>
        </row>
        <row r="110">
          <cell r="AJ110">
            <v>346466.63298563985</v>
          </cell>
          <cell r="RB110">
            <v>207.84260145429101</v>
          </cell>
        </row>
        <row r="112">
          <cell r="A112" t="str">
            <v>IS</v>
          </cell>
          <cell r="C112" t="str">
            <v>FLEC_IST1S</v>
          </cell>
          <cell r="D112" t="str">
            <v>Sec.</v>
          </cell>
          <cell r="E112" t="str">
            <v>Sec.</v>
          </cell>
          <cell r="AJ112">
            <v>0</v>
          </cell>
          <cell r="RB112">
            <v>0</v>
          </cell>
        </row>
        <row r="113">
          <cell r="A113" t="str">
            <v>IS</v>
          </cell>
          <cell r="C113" t="str">
            <v>FLEC_IST2S</v>
          </cell>
          <cell r="D113" t="str">
            <v>Sec.</v>
          </cell>
          <cell r="E113" t="str">
            <v>Sec.</v>
          </cell>
          <cell r="AJ113">
            <v>20045.467190644376</v>
          </cell>
          <cell r="RB113">
            <v>23.093622383810111</v>
          </cell>
        </row>
        <row r="114">
          <cell r="A114" t="str">
            <v>IS</v>
          </cell>
          <cell r="C114" t="str">
            <v>FLEC_IT2SA</v>
          </cell>
          <cell r="D114" t="str">
            <v>Sec.</v>
          </cell>
          <cell r="E114" t="str">
            <v>Sec.</v>
          </cell>
          <cell r="AJ114">
            <v>725271.64014729683</v>
          </cell>
          <cell r="RB114">
            <v>682.64747766542689</v>
          </cell>
        </row>
        <row r="115">
          <cell r="AJ115">
            <v>745317.10733794118</v>
          </cell>
          <cell r="RB115">
            <v>705.74110004923705</v>
          </cell>
        </row>
        <row r="117">
          <cell r="A117" t="str">
            <v>IS</v>
          </cell>
          <cell r="C117" t="str">
            <v>FLEC_IST1P</v>
          </cell>
          <cell r="D117" t="str">
            <v>Primary</v>
          </cell>
          <cell r="E117" t="str">
            <v>Primary</v>
          </cell>
          <cell r="AJ117">
            <v>0</v>
          </cell>
          <cell r="RB117">
            <v>0</v>
          </cell>
        </row>
        <row r="118">
          <cell r="A118" t="str">
            <v>IS</v>
          </cell>
          <cell r="C118" t="str">
            <v>FLEC_IST2P</v>
          </cell>
          <cell r="D118" t="str">
            <v>Primary</v>
          </cell>
          <cell r="E118" t="str">
            <v>Primary</v>
          </cell>
          <cell r="AJ118">
            <v>77508.005871489309</v>
          </cell>
          <cell r="RB118">
            <v>49.882224349029826</v>
          </cell>
        </row>
        <row r="119">
          <cell r="A119" t="str">
            <v>IS</v>
          </cell>
          <cell r="C119" t="str">
            <v>FLEC_IT2PA</v>
          </cell>
          <cell r="D119" t="str">
            <v>Primary</v>
          </cell>
          <cell r="E119" t="str">
            <v>Primary</v>
          </cell>
          <cell r="AJ119">
            <v>2596493.2723839912</v>
          </cell>
          <cell r="RB119">
            <v>561.63689637426182</v>
          </cell>
        </row>
        <row r="120">
          <cell r="A120" t="str">
            <v>IS</v>
          </cell>
          <cell r="C120" t="str">
            <v>FLEC_IT2PA</v>
          </cell>
          <cell r="D120" t="str">
            <v>Tran &lt;230kV</v>
          </cell>
          <cell r="E120" t="str">
            <v>Primary</v>
          </cell>
          <cell r="AJ120">
            <v>731347.22319741664</v>
          </cell>
          <cell r="RB120">
            <v>19.398642802400488</v>
          </cell>
        </row>
        <row r="121">
          <cell r="AJ121">
            <v>3405348.5014528967</v>
          </cell>
          <cell r="RB121">
            <v>630.91776352569207</v>
          </cell>
        </row>
        <row r="124">
          <cell r="A124" t="str">
            <v>IS</v>
          </cell>
          <cell r="C124" t="str">
            <v>FLEC_IST1T</v>
          </cell>
          <cell r="D124" t="str">
            <v>Tran &lt;230kV</v>
          </cell>
          <cell r="E124" t="str">
            <v>Tran &lt;230kV</v>
          </cell>
          <cell r="AJ124">
            <v>0</v>
          </cell>
          <cell r="RB124">
            <v>0</v>
          </cell>
        </row>
        <row r="125">
          <cell r="A125" t="str">
            <v>IS</v>
          </cell>
          <cell r="C125" t="str">
            <v>FLEC_IST1T</v>
          </cell>
          <cell r="D125" t="str">
            <v>Primary</v>
          </cell>
          <cell r="E125" t="str">
            <v>Tran &lt;230kV</v>
          </cell>
          <cell r="AJ125">
            <v>0</v>
          </cell>
          <cell r="RB125">
            <v>0</v>
          </cell>
        </row>
        <row r="126">
          <cell r="A126" t="str">
            <v>IS</v>
          </cell>
          <cell r="C126" t="str">
            <v>FLEC_IST2T</v>
          </cell>
          <cell r="D126" t="str">
            <v>Tran &lt;230kV</v>
          </cell>
          <cell r="E126" t="str">
            <v>Tran &lt;230kV</v>
          </cell>
          <cell r="AJ126">
            <v>133020.92314054962</v>
          </cell>
          <cell r="RB126">
            <v>13.856173430286065</v>
          </cell>
        </row>
        <row r="127">
          <cell r="A127" t="str">
            <v>IS</v>
          </cell>
          <cell r="C127" t="str">
            <v>FLEC_IST2T</v>
          </cell>
          <cell r="D127" t="str">
            <v>Tran &lt;230kV</v>
          </cell>
          <cell r="E127" t="str">
            <v>Tran &lt;230kV</v>
          </cell>
          <cell r="AJ127">
            <v>41934.084118219092</v>
          </cell>
          <cell r="RB127">
            <v>2.7712346860572135</v>
          </cell>
        </row>
        <row r="128">
          <cell r="A128" t="str">
            <v>IS</v>
          </cell>
          <cell r="C128" t="str">
            <v>FLEC_IT2TA</v>
          </cell>
          <cell r="D128" t="str">
            <v>Tran &lt;230kV</v>
          </cell>
          <cell r="E128" t="str">
            <v>Tran &lt;230kV</v>
          </cell>
          <cell r="AJ128">
            <v>2309602.530676506</v>
          </cell>
          <cell r="RB128">
            <v>62.814652883963504</v>
          </cell>
        </row>
        <row r="129">
          <cell r="A129" t="str">
            <v>IS</v>
          </cell>
          <cell r="C129" t="str">
            <v>FLEC_IT2TA</v>
          </cell>
          <cell r="D129" t="str">
            <v>Tran &gt;230kV</v>
          </cell>
          <cell r="E129" t="str">
            <v>Tran &gt;230kV</v>
          </cell>
          <cell r="AJ129">
            <v>463498.78309810295</v>
          </cell>
          <cell r="RB129">
            <v>10.161193848876447</v>
          </cell>
        </row>
        <row r="130">
          <cell r="AJ130">
            <v>2948056.3210333777</v>
          </cell>
          <cell r="RB130">
            <v>89.60325484918323</v>
          </cell>
        </row>
        <row r="132">
          <cell r="AJ132">
            <v>7512508.068418392</v>
          </cell>
          <cell r="RB132">
            <v>1744.0303624253395</v>
          </cell>
        </row>
        <row r="133">
          <cell r="AJ133">
            <v>0</v>
          </cell>
        </row>
        <row r="135">
          <cell r="A135" t="str">
            <v>LS</v>
          </cell>
          <cell r="C135" t="str">
            <v>FLEO_LS1U</v>
          </cell>
          <cell r="D135" t="str">
            <v>Sec.</v>
          </cell>
          <cell r="E135" t="str">
            <v>Sec.</v>
          </cell>
          <cell r="RB135">
            <v>769632.19418639934</v>
          </cell>
        </row>
        <row r="136">
          <cell r="A136" t="str">
            <v>LS</v>
          </cell>
          <cell r="C136" t="str">
            <v>FLEO_LS1U1</v>
          </cell>
          <cell r="D136" t="str">
            <v>Sec.</v>
          </cell>
          <cell r="E136" t="str">
            <v>Sec.</v>
          </cell>
          <cell r="RB136">
            <v>1121.596323373022</v>
          </cell>
        </row>
        <row r="137">
          <cell r="RB137">
            <v>770753.79050977237</v>
          </cell>
        </row>
        <row r="139">
          <cell r="A139" t="str">
            <v>LS</v>
          </cell>
          <cell r="C139" t="str">
            <v>FLEO_LS1M</v>
          </cell>
          <cell r="D139" t="str">
            <v>Sec.</v>
          </cell>
          <cell r="E139" t="str">
            <v>Sec.</v>
          </cell>
          <cell r="RB139">
            <v>13005.372413863875</v>
          </cell>
        </row>
        <row r="141">
          <cell r="RB141">
            <v>783759.16292363626</v>
          </cell>
        </row>
        <row r="142">
          <cell r="AJ142" t="str">
            <v>Specified Standby Capacity</v>
          </cell>
        </row>
        <row r="144">
          <cell r="A144" t="str">
            <v>SS-1</v>
          </cell>
          <cell r="C144" t="str">
            <v>FLEC_SS1P</v>
          </cell>
          <cell r="D144" t="str">
            <v>Primary</v>
          </cell>
          <cell r="E144" t="str">
            <v>Primary</v>
          </cell>
          <cell r="AJ144">
            <v>253660.31999999995</v>
          </cell>
          <cell r="RB144">
            <v>2.884625824120377</v>
          </cell>
        </row>
        <row r="145">
          <cell r="A145" t="str">
            <v>SS-1</v>
          </cell>
          <cell r="C145" t="str">
            <v>FLEC_SS1PA</v>
          </cell>
          <cell r="D145" t="str">
            <v>Primary</v>
          </cell>
          <cell r="E145" t="str">
            <v>Primary</v>
          </cell>
          <cell r="AJ145">
            <v>0</v>
          </cell>
          <cell r="RB145">
            <v>38.461677654938342</v>
          </cell>
        </row>
        <row r="146">
          <cell r="A146" t="str">
            <v>SS-1</v>
          </cell>
          <cell r="C146" t="str">
            <v>FLEC_SS1PA</v>
          </cell>
          <cell r="D146" t="str">
            <v>Tran &lt;230kV</v>
          </cell>
          <cell r="E146" t="str">
            <v>Primary</v>
          </cell>
          <cell r="AJ146">
            <v>0</v>
          </cell>
          <cell r="RB146">
            <v>9.6154194137345854</v>
          </cell>
        </row>
        <row r="147">
          <cell r="A147" t="str">
            <v>SS-1</v>
          </cell>
          <cell r="C147" t="str">
            <v>FLEC_SS1T</v>
          </cell>
          <cell r="D147" t="str">
            <v>Tran &lt;230kV</v>
          </cell>
          <cell r="E147" t="str">
            <v>Tran &lt;230kV</v>
          </cell>
          <cell r="AJ147">
            <v>272832</v>
          </cell>
          <cell r="RB147">
            <v>3.8461677654938358</v>
          </cell>
        </row>
        <row r="148">
          <cell r="A148" t="str">
            <v>SS-1</v>
          </cell>
          <cell r="C148" t="str">
            <v>FLEC_SS1TA</v>
          </cell>
          <cell r="D148" t="str">
            <v>Tran &lt;230kV</v>
          </cell>
          <cell r="E148" t="str">
            <v>Tran &lt;230kV</v>
          </cell>
          <cell r="AJ148">
            <v>0</v>
          </cell>
          <cell r="RB148">
            <v>51.92326483416678</v>
          </cell>
        </row>
        <row r="150">
          <cell r="AJ150">
            <v>526492.31999999995</v>
          </cell>
          <cell r="RB150">
            <v>106.73115549245392</v>
          </cell>
        </row>
        <row r="151">
          <cell r="AJ151">
            <v>0</v>
          </cell>
        </row>
        <row r="153">
          <cell r="A153" t="str">
            <v>SS-2</v>
          </cell>
          <cell r="C153" t="str">
            <v>FLEC_SS2P</v>
          </cell>
          <cell r="D153" t="str">
            <v>Primary</v>
          </cell>
          <cell r="E153" t="str">
            <v>Primary</v>
          </cell>
          <cell r="AJ153">
            <v>339240</v>
          </cell>
          <cell r="RB153">
            <v>0.8807652312104145</v>
          </cell>
        </row>
        <row r="154">
          <cell r="A154" t="str">
            <v>SS-2</v>
          </cell>
          <cell r="C154" t="str">
            <v>FLEC_SS2PA</v>
          </cell>
          <cell r="D154" t="str">
            <v>Primary</v>
          </cell>
          <cell r="E154" t="str">
            <v>Primary</v>
          </cell>
          <cell r="AJ154">
            <v>0</v>
          </cell>
          <cell r="RB154">
            <v>9.688417543314559</v>
          </cell>
        </row>
        <row r="155">
          <cell r="A155" t="str">
            <v>SS-2</v>
          </cell>
          <cell r="C155" t="str">
            <v>FLEC_SS2PA</v>
          </cell>
          <cell r="D155" t="str">
            <v>Tran &lt;230kV</v>
          </cell>
          <cell r="E155" t="str">
            <v>Primary</v>
          </cell>
          <cell r="AJ155">
            <v>0</v>
          </cell>
          <cell r="RB155">
            <v>10.569182774524974</v>
          </cell>
        </row>
        <row r="156">
          <cell r="A156" t="str">
            <v>SS-2</v>
          </cell>
          <cell r="C156" t="str">
            <v>FLEC_SS2T</v>
          </cell>
          <cell r="D156" t="str">
            <v>Tran &lt;230kV</v>
          </cell>
          <cell r="E156" t="str">
            <v>Tran &lt;230kV</v>
          </cell>
          <cell r="AJ156">
            <v>120000</v>
          </cell>
          <cell r="RB156">
            <v>0.8807652312104145</v>
          </cell>
        </row>
        <row r="157">
          <cell r="A157" t="str">
            <v>SS-2</v>
          </cell>
          <cell r="C157" t="str">
            <v>FLEC_SS2TA</v>
          </cell>
          <cell r="D157" t="str">
            <v>Tran &lt;230kV</v>
          </cell>
          <cell r="E157" t="str">
            <v>Tran &lt;230kV</v>
          </cell>
          <cell r="AJ157">
            <v>0</v>
          </cell>
          <cell r="RB157">
            <v>8.8076523121041443</v>
          </cell>
        </row>
        <row r="159">
          <cell r="AJ159">
            <v>459240</v>
          </cell>
          <cell r="RB159">
            <v>30.826783092364508</v>
          </cell>
        </row>
        <row r="160">
          <cell r="AJ160">
            <v>0</v>
          </cell>
        </row>
        <row r="162">
          <cell r="A162" t="str">
            <v>SS-3</v>
          </cell>
          <cell r="C162" t="str">
            <v>FLEC_SS3P</v>
          </cell>
          <cell r="D162" t="str">
            <v>Primary</v>
          </cell>
          <cell r="E162" t="str">
            <v>Primary</v>
          </cell>
          <cell r="AJ162">
            <v>296317.70399999997</v>
          </cell>
          <cell r="RB162">
            <v>0.85231133754059429</v>
          </cell>
        </row>
        <row r="163">
          <cell r="A163" t="str">
            <v>SS-3</v>
          </cell>
          <cell r="C163" t="str">
            <v>FLEC_SS3PA</v>
          </cell>
          <cell r="D163" t="str">
            <v>Primary</v>
          </cell>
          <cell r="E163" t="str">
            <v>Primary</v>
          </cell>
          <cell r="AJ163">
            <v>0</v>
          </cell>
          <cell r="RB163">
            <v>9.375424712946538</v>
          </cell>
        </row>
        <row r="165">
          <cell r="AJ165">
            <v>296317.70399999997</v>
          </cell>
          <cell r="RB165">
            <v>10.227736050487133</v>
          </cell>
        </row>
        <row r="166">
          <cell r="AJ166">
            <v>0</v>
          </cell>
        </row>
        <row r="169">
          <cell r="RB169">
            <v>0</v>
          </cell>
        </row>
        <row r="171">
          <cell r="AJ171">
            <v>46075904.340216354</v>
          </cell>
          <cell r="RB171">
            <v>24837305.725514032</v>
          </cell>
        </row>
        <row r="174">
          <cell r="C174" t="str">
            <v>Use of Standby Volumes for SS Rates</v>
          </cell>
        </row>
        <row r="175">
          <cell r="C175" t="str">
            <v>FLEC_CG095</v>
          </cell>
        </row>
        <row r="176">
          <cell r="C176" t="str">
            <v>FLEC_CG096</v>
          </cell>
        </row>
        <row r="177">
          <cell r="C177" t="str">
            <v>FLEC_CG296</v>
          </cell>
        </row>
        <row r="178">
          <cell r="C178" t="str">
            <v>Revenue Calculation exludes the Powef Factor Revenue</v>
          </cell>
        </row>
        <row r="179">
          <cell r="C179" t="str">
            <v>Needs a colmn added in the monthly BC File</v>
          </cell>
        </row>
        <row r="180">
          <cell r="C180" t="str">
            <v>BC Report KW for SS-1 + SS-2 + SS-3 versus Specified Standby Capacity</v>
          </cell>
        </row>
        <row r="181">
          <cell r="C181" t="str">
            <v>Daily Demands from tab SS</v>
          </cell>
        </row>
      </sheetData>
      <sheetData sheetId="27">
        <row r="1">
          <cell r="A1" t="str">
            <v>This tab calculates the details for the E-13c schedules by rate class and various other schedules.  Make sure links are correct and checks in yellow at the end of each rate class are zero.</v>
          </cell>
        </row>
        <row r="2">
          <cell r="A2">
            <v>1</v>
          </cell>
          <cell r="C2">
            <v>2</v>
          </cell>
          <cell r="D2">
            <v>3</v>
          </cell>
          <cell r="E2">
            <v>4</v>
          </cell>
          <cell r="AJ2">
            <v>35</v>
          </cell>
          <cell r="RB2">
            <v>469</v>
          </cell>
        </row>
        <row r="3">
          <cell r="A3" t="str">
            <v>Year 5</v>
          </cell>
          <cell r="RB3" t="str">
            <v>Forecast</v>
          </cell>
        </row>
        <row r="4">
          <cell r="RB4" t="str">
            <v>Bills</v>
          </cell>
        </row>
        <row r="5">
          <cell r="A5" t="str">
            <v>DEF Retail Forecast by Rate Code</v>
          </cell>
        </row>
        <row r="7">
          <cell r="A7" t="str">
            <v>Rate</v>
          </cell>
          <cell r="C7" t="str">
            <v>Rate</v>
          </cell>
          <cell r="AJ7" t="str">
            <v>Base</v>
          </cell>
        </row>
        <row r="8">
          <cell r="A8" t="str">
            <v>Class</v>
          </cell>
          <cell r="C8" t="str">
            <v>Category</v>
          </cell>
          <cell r="D8" t="str">
            <v>Del</v>
          </cell>
          <cell r="E8" t="str">
            <v>Met</v>
          </cell>
          <cell r="AJ8" t="str">
            <v>KW</v>
          </cell>
          <cell r="RB8" t="str">
            <v>Total</v>
          </cell>
        </row>
        <row r="9">
          <cell r="A9" t="str">
            <v>RS-1</v>
          </cell>
          <cell r="C9" t="str">
            <v>FLER_RS-1</v>
          </cell>
          <cell r="D9" t="str">
            <v>Sec.</v>
          </cell>
          <cell r="E9" t="str">
            <v>Sec.</v>
          </cell>
          <cell r="RB9">
            <v>16503142.405052893</v>
          </cell>
        </row>
        <row r="10">
          <cell r="A10" t="str">
            <v>RS-1</v>
          </cell>
          <cell r="C10" t="str">
            <v>FLER_RSL1</v>
          </cell>
          <cell r="D10" t="str">
            <v>Sec.</v>
          </cell>
          <cell r="E10" t="str">
            <v>Sec.</v>
          </cell>
          <cell r="RB10">
            <v>5558573.5138020907</v>
          </cell>
        </row>
        <row r="11">
          <cell r="A11" t="str">
            <v>RS-1</v>
          </cell>
          <cell r="C11" t="str">
            <v>FLER_RS1FP</v>
          </cell>
          <cell r="D11" t="str">
            <v>Sec.</v>
          </cell>
          <cell r="E11" t="str">
            <v>Sec.</v>
          </cell>
          <cell r="RB11">
            <v>5.3811609424580036</v>
          </cell>
        </row>
        <row r="12">
          <cell r="A12" t="str">
            <v>RS-1</v>
          </cell>
          <cell r="C12" t="str">
            <v>FLER_RSS1</v>
          </cell>
          <cell r="D12" t="str">
            <v>Sec.</v>
          </cell>
          <cell r="E12" t="str">
            <v>Sec.</v>
          </cell>
          <cell r="RB12">
            <v>308.87863809708955</v>
          </cell>
        </row>
        <row r="13">
          <cell r="A13" t="str">
            <v>RS-1</v>
          </cell>
          <cell r="C13" t="str">
            <v>FLER_RSSL1</v>
          </cell>
          <cell r="D13" t="str">
            <v>Sec.</v>
          </cell>
          <cell r="E13" t="str">
            <v>Sec.</v>
          </cell>
          <cell r="RB13">
            <v>115.1568441686013</v>
          </cell>
        </row>
        <row r="14">
          <cell r="RB14">
            <v>22062145.335498188</v>
          </cell>
        </row>
        <row r="22">
          <cell r="A22" t="str">
            <v>RS-1</v>
          </cell>
          <cell r="C22" t="str">
            <v>FLER_RST1</v>
          </cell>
          <cell r="D22" t="str">
            <v>Sec.</v>
          </cell>
          <cell r="E22" t="str">
            <v>Sec.</v>
          </cell>
          <cell r="RB22">
            <v>36.591894408714438</v>
          </cell>
        </row>
        <row r="23">
          <cell r="A23" t="str">
            <v>RS-1</v>
          </cell>
          <cell r="C23" t="str">
            <v>FLER_RST1A</v>
          </cell>
          <cell r="D23" t="str">
            <v>Sec.</v>
          </cell>
          <cell r="E23" t="str">
            <v>Sec.</v>
          </cell>
          <cell r="RB23">
            <v>2335.423849026774</v>
          </cell>
        </row>
        <row r="24">
          <cell r="RB24">
            <v>2372.0157434354883</v>
          </cell>
        </row>
        <row r="27">
          <cell r="RB27">
            <v>22064517.351241622</v>
          </cell>
        </row>
        <row r="30">
          <cell r="A30" t="str">
            <v>GS-1</v>
          </cell>
          <cell r="C30" t="str">
            <v>FLEC_GS1S</v>
          </cell>
          <cell r="D30" t="str">
            <v>Sec.</v>
          </cell>
          <cell r="E30" t="str">
            <v>Sec.</v>
          </cell>
          <cell r="RB30">
            <v>1582103.8232286857</v>
          </cell>
        </row>
        <row r="31">
          <cell r="A31" t="str">
            <v>GS-1</v>
          </cell>
          <cell r="C31" t="str">
            <v>FLEC_GS1UM</v>
          </cell>
          <cell r="D31" t="str">
            <v>Sec.</v>
          </cell>
          <cell r="E31" t="str">
            <v>Sec.</v>
          </cell>
          <cell r="RB31">
            <v>5661.7423939996061</v>
          </cell>
        </row>
        <row r="32">
          <cell r="RB32">
            <v>1587765.5656226852</v>
          </cell>
        </row>
        <row r="34">
          <cell r="A34" t="str">
            <v>GS-1</v>
          </cell>
          <cell r="C34" t="str">
            <v>FLEC_GS1P</v>
          </cell>
          <cell r="D34" t="str">
            <v>Primary</v>
          </cell>
          <cell r="E34" t="str">
            <v>Primary</v>
          </cell>
          <cell r="RB34">
            <v>1627.2914619005712</v>
          </cell>
        </row>
        <row r="36">
          <cell r="A36" t="str">
            <v>GS-1</v>
          </cell>
          <cell r="C36" t="str">
            <v>FLEC_GST1S</v>
          </cell>
          <cell r="D36" t="str">
            <v>Sec.</v>
          </cell>
          <cell r="E36" t="str">
            <v>Sec.</v>
          </cell>
          <cell r="AJ36" t="str">
            <v xml:space="preserve"> </v>
          </cell>
          <cell r="RB36">
            <v>552.36511160971747</v>
          </cell>
        </row>
        <row r="37">
          <cell r="A37" t="str">
            <v>GS-1</v>
          </cell>
          <cell r="C37" t="str">
            <v>FLEC_GT1SA</v>
          </cell>
          <cell r="D37" t="str">
            <v>Sec.</v>
          </cell>
          <cell r="E37" t="str">
            <v>Sec.</v>
          </cell>
          <cell r="AJ37" t="str">
            <v xml:space="preserve"> </v>
          </cell>
          <cell r="RB37">
            <v>15198.981731145808</v>
          </cell>
        </row>
        <row r="38">
          <cell r="A38" t="str">
            <v>`</v>
          </cell>
          <cell r="AJ38" t="str">
            <v xml:space="preserve"> </v>
          </cell>
          <cell r="RB38">
            <v>15751.346842755525</v>
          </cell>
        </row>
        <row r="39">
          <cell r="AJ39" t="str">
            <v xml:space="preserve"> </v>
          </cell>
        </row>
        <row r="40">
          <cell r="A40" t="str">
            <v>GS-1</v>
          </cell>
          <cell r="C40" t="str">
            <v>FLEC_GT1PA</v>
          </cell>
          <cell r="D40" t="str">
            <v>Primary</v>
          </cell>
          <cell r="E40" t="str">
            <v>Primary</v>
          </cell>
          <cell r="AJ40" t="str">
            <v xml:space="preserve"> </v>
          </cell>
          <cell r="RB40">
            <v>175.84285027863316</v>
          </cell>
        </row>
        <row r="41">
          <cell r="A41" t="str">
            <v>GS-1</v>
          </cell>
          <cell r="C41" t="str">
            <v>FLEC_GST1P</v>
          </cell>
          <cell r="D41" t="str">
            <v>Primary</v>
          </cell>
          <cell r="E41" t="str">
            <v>Primary</v>
          </cell>
          <cell r="AJ41" t="str">
            <v xml:space="preserve"> </v>
          </cell>
          <cell r="RB41">
            <v>31.790797790487346</v>
          </cell>
        </row>
        <row r="42">
          <cell r="AJ42" t="str">
            <v xml:space="preserve"> </v>
          </cell>
          <cell r="RB42">
            <v>207.63364806912051</v>
          </cell>
        </row>
        <row r="43">
          <cell r="AJ43" t="str">
            <v xml:space="preserve"> </v>
          </cell>
        </row>
        <row r="44">
          <cell r="A44" t="str">
            <v>GS-1</v>
          </cell>
          <cell r="C44" t="str">
            <v>FLEC_GT1TA</v>
          </cell>
          <cell r="D44" t="str">
            <v>Tran &lt;230kV</v>
          </cell>
          <cell r="E44" t="str">
            <v>Tran &lt;230kV</v>
          </cell>
          <cell r="AJ44" t="str">
            <v xml:space="preserve"> </v>
          </cell>
          <cell r="RB44">
            <v>23.84309834286551</v>
          </cell>
        </row>
        <row r="47">
          <cell r="RB47">
            <v>1605375.6806737534</v>
          </cell>
        </row>
        <row r="50">
          <cell r="A50" t="str">
            <v>GS-2</v>
          </cell>
          <cell r="C50" t="str">
            <v>FLEC_GS2UM</v>
          </cell>
          <cell r="D50" t="str">
            <v>Sec.</v>
          </cell>
          <cell r="E50" t="str">
            <v>Sec.</v>
          </cell>
          <cell r="RB50">
            <v>10324.644696744759</v>
          </cell>
        </row>
        <row r="52">
          <cell r="A52" t="str">
            <v>GS-2</v>
          </cell>
          <cell r="C52" t="str">
            <v>FLEC_GS2</v>
          </cell>
          <cell r="D52" t="str">
            <v>Sec.</v>
          </cell>
          <cell r="E52" t="str">
            <v>Sec.</v>
          </cell>
          <cell r="RB52">
            <v>170541.20372150553</v>
          </cell>
        </row>
        <row r="54">
          <cell r="RB54">
            <v>180865.8484182503</v>
          </cell>
        </row>
        <row r="57">
          <cell r="A57" t="str">
            <v>GSD</v>
          </cell>
          <cell r="C57" t="str">
            <v>FLEC_GSDS</v>
          </cell>
          <cell r="D57" t="str">
            <v>Sec.</v>
          </cell>
          <cell r="E57" t="str">
            <v>Sec.</v>
          </cell>
          <cell r="AJ57">
            <v>70095.284545480754</v>
          </cell>
          <cell r="RB57">
            <v>3960.9347655936799</v>
          </cell>
        </row>
        <row r="58">
          <cell r="A58" t="str">
            <v>GSD</v>
          </cell>
          <cell r="C58" t="str">
            <v>FLEC_GSDSA</v>
          </cell>
          <cell r="D58" t="str">
            <v>Sec.</v>
          </cell>
          <cell r="E58" t="str">
            <v>Sec.</v>
          </cell>
          <cell r="AJ58">
            <v>10719790.537132844</v>
          </cell>
          <cell r="RB58">
            <v>403327.33997371909</v>
          </cell>
        </row>
        <row r="59">
          <cell r="AJ59">
            <v>10789885.821678326</v>
          </cell>
          <cell r="RB59">
            <v>407288.27473931276</v>
          </cell>
        </row>
        <row r="61">
          <cell r="A61" t="str">
            <v>GSD</v>
          </cell>
          <cell r="C61" t="str">
            <v>FLEC_GSDP</v>
          </cell>
          <cell r="D61" t="str">
            <v>Primary</v>
          </cell>
          <cell r="E61" t="str">
            <v>Primary</v>
          </cell>
          <cell r="AJ61">
            <v>11946.240552169937</v>
          </cell>
          <cell r="RB61">
            <v>331.10939056134663</v>
          </cell>
        </row>
        <row r="62">
          <cell r="A62" t="str">
            <v>GSD</v>
          </cell>
          <cell r="C62" t="str">
            <v>FLEC_GSDPA</v>
          </cell>
          <cell r="D62" t="str">
            <v>Sec.</v>
          </cell>
          <cell r="E62" t="str">
            <v>Primary</v>
          </cell>
          <cell r="AJ62">
            <v>0</v>
          </cell>
          <cell r="RB62">
            <v>0</v>
          </cell>
        </row>
        <row r="63">
          <cell r="A63" t="str">
            <v>GSD</v>
          </cell>
          <cell r="C63" t="str">
            <v>FLEC_GSDPA</v>
          </cell>
          <cell r="D63" t="str">
            <v>Primary</v>
          </cell>
          <cell r="E63" t="str">
            <v>Primary</v>
          </cell>
          <cell r="AJ63">
            <v>261644.53257821364</v>
          </cell>
          <cell r="RB63">
            <v>1275.9573711040055</v>
          </cell>
        </row>
        <row r="64">
          <cell r="AJ64">
            <v>273590.77313038358</v>
          </cell>
          <cell r="RB64">
            <v>1607.066761665352</v>
          </cell>
        </row>
        <row r="66">
          <cell r="A66" t="str">
            <v>GSD</v>
          </cell>
          <cell r="C66" t="str">
            <v>FLEC_GSDT</v>
          </cell>
          <cell r="D66" t="str">
            <v>Tran &lt;230kV</v>
          </cell>
          <cell r="E66" t="str">
            <v>Tran &lt;230kV</v>
          </cell>
          <cell r="AJ66">
            <v>60.645679971937994</v>
          </cell>
          <cell r="RB66">
            <v>23.724348856420477</v>
          </cell>
        </row>
        <row r="67">
          <cell r="A67" t="str">
            <v>GSD</v>
          </cell>
          <cell r="C67" t="str">
            <v>FLEC_GSDTA</v>
          </cell>
          <cell r="D67" t="str">
            <v>Tran &lt;230kV</v>
          </cell>
          <cell r="E67" t="str">
            <v>Tran &lt;230kV</v>
          </cell>
          <cell r="AJ67">
            <v>330.36833535899257</v>
          </cell>
          <cell r="RB67">
            <v>14.44090799956029</v>
          </cell>
        </row>
        <row r="68">
          <cell r="AJ68">
            <v>391.01401533093053</v>
          </cell>
          <cell r="RB68">
            <v>38.165256855980765</v>
          </cell>
        </row>
        <row r="70">
          <cell r="A70" t="str">
            <v>GSD</v>
          </cell>
          <cell r="C70" t="str">
            <v>FLEC_GSDTS</v>
          </cell>
          <cell r="D70" t="str">
            <v>Sec.</v>
          </cell>
          <cell r="E70" t="str">
            <v>Sec.</v>
          </cell>
          <cell r="AJ70">
            <v>76734.877782271418</v>
          </cell>
          <cell r="RB70">
            <v>1168.6820545358435</v>
          </cell>
        </row>
        <row r="71">
          <cell r="A71" t="str">
            <v>GSD</v>
          </cell>
          <cell r="C71" t="str">
            <v>FLEC_GDTSA</v>
          </cell>
          <cell r="D71" t="str">
            <v>Sec.</v>
          </cell>
          <cell r="E71" t="str">
            <v>Sec.</v>
          </cell>
          <cell r="AJ71">
            <v>20957489.545431711</v>
          </cell>
          <cell r="RB71">
            <v>183307.72867927563</v>
          </cell>
        </row>
        <row r="72">
          <cell r="A72" t="str">
            <v>GSD</v>
          </cell>
          <cell r="C72" t="str">
            <v>FLEC_GDTSA</v>
          </cell>
          <cell r="D72" t="str">
            <v>Primary</v>
          </cell>
          <cell r="E72" t="str">
            <v>Sec.</v>
          </cell>
          <cell r="AJ72">
            <v>9541.8613879632667</v>
          </cell>
          <cell r="RB72">
            <v>10.314934285400206</v>
          </cell>
        </row>
        <row r="73">
          <cell r="AJ73">
            <v>21043766.284601945</v>
          </cell>
          <cell r="RB73">
            <v>184486.72566809686</v>
          </cell>
        </row>
        <row r="75">
          <cell r="A75" t="str">
            <v>GSD</v>
          </cell>
          <cell r="C75" t="str">
            <v>FLEC_GDTPA</v>
          </cell>
          <cell r="D75" t="str">
            <v>Sec.</v>
          </cell>
          <cell r="E75" t="str">
            <v>Primary</v>
          </cell>
          <cell r="AJ75">
            <v>0</v>
          </cell>
          <cell r="RB75">
            <v>0</v>
          </cell>
        </row>
        <row r="76">
          <cell r="A76" t="str">
            <v>GSD</v>
          </cell>
          <cell r="C76" t="str">
            <v>FLEC_GDTPA</v>
          </cell>
          <cell r="D76" t="str">
            <v>Primary</v>
          </cell>
          <cell r="E76" t="str">
            <v>Primary</v>
          </cell>
          <cell r="AJ76">
            <v>4081664.6626908635</v>
          </cell>
          <cell r="RB76">
            <v>2847.9533561989974</v>
          </cell>
        </row>
        <row r="77">
          <cell r="A77" t="str">
            <v>GSD</v>
          </cell>
          <cell r="C77" t="str">
            <v>FLEC_GSDTP</v>
          </cell>
          <cell r="D77" t="str">
            <v>Primary</v>
          </cell>
          <cell r="E77" t="str">
            <v>Primary</v>
          </cell>
          <cell r="AJ77">
            <v>82668.747953139813</v>
          </cell>
          <cell r="RB77">
            <v>146.47206685268296</v>
          </cell>
        </row>
        <row r="78">
          <cell r="AJ78">
            <v>4164333.4106440032</v>
          </cell>
          <cell r="RB78">
            <v>2994.4254230516804</v>
          </cell>
        </row>
        <row r="80">
          <cell r="A80" t="str">
            <v>GSD</v>
          </cell>
          <cell r="C80" t="str">
            <v>FLEC_GSDTT</v>
          </cell>
          <cell r="D80" t="str">
            <v>Tran &lt;230kV</v>
          </cell>
          <cell r="E80" t="str">
            <v>Tran &lt;230kV</v>
          </cell>
          <cell r="AJ80">
            <v>24.414037583938843</v>
          </cell>
          <cell r="RB80">
            <v>2.0629868570800416</v>
          </cell>
        </row>
        <row r="81">
          <cell r="A81" t="str">
            <v>GSD</v>
          </cell>
          <cell r="C81" t="str">
            <v>FLEC_GDTTA</v>
          </cell>
          <cell r="D81" t="str">
            <v>Tran &lt;230kV</v>
          </cell>
          <cell r="E81" t="str">
            <v>Tran &lt;230kV</v>
          </cell>
          <cell r="AJ81">
            <v>985490.07605065196</v>
          </cell>
          <cell r="RB81">
            <v>19.598375142260394</v>
          </cell>
        </row>
        <row r="82">
          <cell r="AJ82">
            <v>985514.49008823594</v>
          </cell>
          <cell r="RB82">
            <v>21.661361999340436</v>
          </cell>
        </row>
        <row r="84">
          <cell r="AJ84">
            <v>37257481.794158228</v>
          </cell>
          <cell r="RB84">
            <v>596436.31921098195</v>
          </cell>
        </row>
        <row r="85">
          <cell r="AJ85">
            <v>0</v>
          </cell>
        </row>
        <row r="87">
          <cell r="A87" t="str">
            <v>CS</v>
          </cell>
          <cell r="C87" t="str">
            <v>FLEC_CS2P</v>
          </cell>
          <cell r="D87" t="str">
            <v>Primary</v>
          </cell>
          <cell r="E87" t="str">
            <v>Primary</v>
          </cell>
          <cell r="RB87">
            <v>8.7259722103905411</v>
          </cell>
        </row>
        <row r="89">
          <cell r="A89" t="str">
            <v>CS</v>
          </cell>
          <cell r="C89" t="str">
            <v>FLEC_C2PA</v>
          </cell>
          <cell r="D89" t="str">
            <v>Primary</v>
          </cell>
          <cell r="E89" t="str">
            <v>Primary</v>
          </cell>
          <cell r="AJ89">
            <v>1032.3913774279906</v>
          </cell>
          <cell r="RB89">
            <v>24.238811695529282</v>
          </cell>
        </row>
        <row r="90">
          <cell r="A90" t="str">
            <v>CS</v>
          </cell>
          <cell r="C90" t="str">
            <v>FLEC_C2SA</v>
          </cell>
          <cell r="D90" t="str">
            <v>Sec.</v>
          </cell>
          <cell r="E90" t="str">
            <v>Sec.</v>
          </cell>
          <cell r="AJ90">
            <v>0</v>
          </cell>
          <cell r="RB90">
            <v>6.7868672747482002</v>
          </cell>
        </row>
        <row r="91">
          <cell r="AJ91">
            <v>1032.3913774279906</v>
          </cell>
          <cell r="RB91">
            <v>31.025678970277482</v>
          </cell>
        </row>
        <row r="93">
          <cell r="A93" t="str">
            <v>CS</v>
          </cell>
          <cell r="C93" t="str">
            <v>FLEC_CST1P</v>
          </cell>
          <cell r="D93" t="str">
            <v>Primary</v>
          </cell>
          <cell r="E93" t="str">
            <v>Primary</v>
          </cell>
          <cell r="AJ93">
            <v>0</v>
          </cell>
          <cell r="RB93">
            <v>0</v>
          </cell>
        </row>
        <row r="94">
          <cell r="A94" t="str">
            <v>CS</v>
          </cell>
          <cell r="C94" t="str">
            <v>FLEC_CT2PA</v>
          </cell>
          <cell r="D94" t="str">
            <v>Primary</v>
          </cell>
          <cell r="E94" t="str">
            <v>Primary</v>
          </cell>
          <cell r="AJ94">
            <v>240092.6372763713</v>
          </cell>
          <cell r="RB94">
            <v>29.086574034635138</v>
          </cell>
        </row>
        <row r="95">
          <cell r="A95" t="str">
            <v>CS</v>
          </cell>
          <cell r="C95" t="str">
            <v>FLEC_CST2P</v>
          </cell>
          <cell r="D95" t="str">
            <v>Primary</v>
          </cell>
          <cell r="E95" t="str">
            <v>Primary</v>
          </cell>
          <cell r="AJ95">
            <v>6828.8539403524328</v>
          </cell>
          <cell r="RB95">
            <v>3.8782098712846849</v>
          </cell>
        </row>
        <row r="96">
          <cell r="AJ96">
            <v>246921.49121672372</v>
          </cell>
          <cell r="RB96">
            <v>32.964783905919823</v>
          </cell>
        </row>
        <row r="98">
          <cell r="AJ98">
            <v>247953.88259415171</v>
          </cell>
          <cell r="RB98">
            <v>72.716435086587836</v>
          </cell>
        </row>
        <row r="99">
          <cell r="AJ99">
            <v>0</v>
          </cell>
        </row>
        <row r="101">
          <cell r="A101" t="str">
            <v>IS</v>
          </cell>
          <cell r="C101" t="str">
            <v>FLEC_IS1S</v>
          </cell>
          <cell r="D101" t="str">
            <v>Sec.</v>
          </cell>
          <cell r="E101" t="str">
            <v>Sec.</v>
          </cell>
          <cell r="AJ101">
            <v>0</v>
          </cell>
          <cell r="RB101">
            <v>0</v>
          </cell>
        </row>
        <row r="102">
          <cell r="A102" t="str">
            <v>IS</v>
          </cell>
          <cell r="C102" t="str">
            <v>FLEC_IS2S</v>
          </cell>
          <cell r="D102" t="str">
            <v>Sec.</v>
          </cell>
          <cell r="E102" t="str">
            <v>Sec.</v>
          </cell>
          <cell r="AJ102">
            <v>13832.768157379447</v>
          </cell>
          <cell r="RB102">
            <v>38.056213912887578</v>
          </cell>
        </row>
        <row r="103">
          <cell r="A103" t="str">
            <v>IS</v>
          </cell>
          <cell r="C103" t="str">
            <v>FLEC_IS2SA</v>
          </cell>
          <cell r="D103" t="str">
            <v>Sec.</v>
          </cell>
          <cell r="E103" t="str">
            <v>Sec.</v>
          </cell>
          <cell r="AJ103">
            <v>53600.461235839604</v>
          </cell>
          <cell r="RB103">
            <v>72.399626468420252</v>
          </cell>
        </row>
        <row r="104">
          <cell r="AJ104">
            <v>67433.229393219051</v>
          </cell>
          <cell r="RB104">
            <v>110.45584038130784</v>
          </cell>
        </row>
        <row r="106">
          <cell r="A106" t="str">
            <v>IS</v>
          </cell>
          <cell r="C106" t="str">
            <v>FLEC_IS1P</v>
          </cell>
          <cell r="D106" t="str">
            <v>Sec.</v>
          </cell>
          <cell r="E106" t="str">
            <v>Primary</v>
          </cell>
          <cell r="AJ106">
            <v>0</v>
          </cell>
          <cell r="RB106">
            <v>0</v>
          </cell>
        </row>
        <row r="107">
          <cell r="A107" t="str">
            <v>IS</v>
          </cell>
          <cell r="C107" t="str">
            <v>FLEC_IS1P</v>
          </cell>
          <cell r="D107" t="str">
            <v>Primary</v>
          </cell>
          <cell r="E107" t="str">
            <v>Primary</v>
          </cell>
          <cell r="AJ107">
            <v>0</v>
          </cell>
          <cell r="RB107">
            <v>0</v>
          </cell>
        </row>
        <row r="108">
          <cell r="A108" t="str">
            <v>IS</v>
          </cell>
          <cell r="C108" t="str">
            <v>FLEC_IS2P</v>
          </cell>
          <cell r="D108" t="str">
            <v>Primary</v>
          </cell>
          <cell r="E108" t="str">
            <v>Primary</v>
          </cell>
          <cell r="AJ108">
            <v>80617.441161565032</v>
          </cell>
          <cell r="RB108">
            <v>56.620220699662006</v>
          </cell>
        </row>
        <row r="109">
          <cell r="A109" t="str">
            <v>IS</v>
          </cell>
          <cell r="C109" t="str">
            <v>FLEC_IS2PA</v>
          </cell>
          <cell r="D109" t="str">
            <v>Primary</v>
          </cell>
          <cell r="E109" t="str">
            <v>Primary</v>
          </cell>
          <cell r="AJ109">
            <v>266434.48276484187</v>
          </cell>
          <cell r="RB109">
            <v>152.22485565155031</v>
          </cell>
        </row>
        <row r="110">
          <cell r="AJ110">
            <v>347051.92392640689</v>
          </cell>
          <cell r="RB110">
            <v>208.84507635121233</v>
          </cell>
        </row>
        <row r="112">
          <cell r="A112" t="str">
            <v>IS</v>
          </cell>
          <cell r="C112" t="str">
            <v>FLEC_IST1S</v>
          </cell>
          <cell r="D112" t="str">
            <v>Sec.</v>
          </cell>
          <cell r="E112" t="str">
            <v>Sec.</v>
          </cell>
          <cell r="AJ112">
            <v>0</v>
          </cell>
          <cell r="RB112">
            <v>0</v>
          </cell>
        </row>
        <row r="113">
          <cell r="A113" t="str">
            <v>IS</v>
          </cell>
          <cell r="C113" t="str">
            <v>FLEC_IST2S</v>
          </cell>
          <cell r="D113" t="str">
            <v>Sec.</v>
          </cell>
          <cell r="E113" t="str">
            <v>Sec.</v>
          </cell>
          <cell r="AJ113">
            <v>20079.330279418678</v>
          </cell>
          <cell r="RB113">
            <v>23.205008483468031</v>
          </cell>
        </row>
        <row r="114">
          <cell r="A114" t="str">
            <v>IS</v>
          </cell>
          <cell r="C114" t="str">
            <v>FLEC_IT2SA</v>
          </cell>
          <cell r="D114" t="str">
            <v>Sec.</v>
          </cell>
          <cell r="E114" t="str">
            <v>Sec.</v>
          </cell>
          <cell r="AJ114">
            <v>726496.85169772932</v>
          </cell>
          <cell r="RB114">
            <v>685.94005077131499</v>
          </cell>
        </row>
        <row r="115">
          <cell r="AJ115">
            <v>746576.18197714805</v>
          </cell>
          <cell r="RB115">
            <v>709.14505925478306</v>
          </cell>
        </row>
        <row r="117">
          <cell r="A117" t="str">
            <v>IS</v>
          </cell>
          <cell r="C117" t="str">
            <v>FLEC_IST1P</v>
          </cell>
          <cell r="D117" t="str">
            <v>Primary</v>
          </cell>
          <cell r="E117" t="str">
            <v>Primary</v>
          </cell>
          <cell r="AJ117">
            <v>0</v>
          </cell>
          <cell r="RB117">
            <v>0</v>
          </cell>
        </row>
        <row r="118">
          <cell r="A118" t="str">
            <v>IS</v>
          </cell>
          <cell r="C118" t="str">
            <v>FLEC_IST2P</v>
          </cell>
          <cell r="D118" t="str">
            <v>Primary</v>
          </cell>
          <cell r="E118" t="str">
            <v>Primary</v>
          </cell>
          <cell r="AJ118">
            <v>77638.941232515484</v>
          </cell>
          <cell r="RB118">
            <v>50.122818324290947</v>
          </cell>
        </row>
        <row r="119">
          <cell r="A119" t="str">
            <v>IS</v>
          </cell>
          <cell r="C119" t="str">
            <v>FLEC_IT2PA</v>
          </cell>
          <cell r="D119" t="str">
            <v>Primary</v>
          </cell>
          <cell r="E119" t="str">
            <v>Primary</v>
          </cell>
          <cell r="AJ119">
            <v>2600879.5648733801</v>
          </cell>
          <cell r="RB119">
            <v>564.34580631794267</v>
          </cell>
        </row>
        <row r="120">
          <cell r="A120" t="str">
            <v>IS</v>
          </cell>
          <cell r="C120" t="str">
            <v>FLEC_IT2PA</v>
          </cell>
          <cell r="D120" t="str">
            <v>Tran &lt;230kV</v>
          </cell>
          <cell r="E120" t="str">
            <v>Primary</v>
          </cell>
          <cell r="AJ120">
            <v>732582.69831547886</v>
          </cell>
          <cell r="RB120">
            <v>19.492207126113147</v>
          </cell>
        </row>
        <row r="121">
          <cell r="AJ121">
            <v>3411101.2044213745</v>
          </cell>
          <cell r="RB121">
            <v>633.96083176834679</v>
          </cell>
        </row>
        <row r="124">
          <cell r="A124" t="str">
            <v>IS</v>
          </cell>
          <cell r="C124" t="str">
            <v>FLEC_IST1T</v>
          </cell>
          <cell r="D124" t="str">
            <v>Tran &lt;230kV</v>
          </cell>
          <cell r="E124" t="str">
            <v>Tran &lt;230kV</v>
          </cell>
          <cell r="AJ124">
            <v>0</v>
          </cell>
          <cell r="RB124">
            <v>0</v>
          </cell>
        </row>
        <row r="125">
          <cell r="A125" t="str">
            <v>IS</v>
          </cell>
          <cell r="C125" t="str">
            <v>FLEC_IST1T</v>
          </cell>
          <cell r="D125" t="str">
            <v>Primary</v>
          </cell>
          <cell r="E125" t="str">
            <v>Tran &lt;230kV</v>
          </cell>
          <cell r="AJ125">
            <v>0</v>
          </cell>
          <cell r="RB125">
            <v>0</v>
          </cell>
        </row>
        <row r="126">
          <cell r="A126" t="str">
            <v>IS</v>
          </cell>
          <cell r="C126" t="str">
            <v>FLEC_IST2T</v>
          </cell>
          <cell r="D126" t="str">
            <v>Tran &lt;230kV</v>
          </cell>
          <cell r="E126" t="str">
            <v>Tran &lt;230kV</v>
          </cell>
          <cell r="AJ126">
            <v>133245.63725104192</v>
          </cell>
          <cell r="RB126">
            <v>13.923005090080819</v>
          </cell>
        </row>
        <row r="127">
          <cell r="A127" t="str">
            <v>IS</v>
          </cell>
          <cell r="C127" t="str">
            <v>FLEC_IST2T</v>
          </cell>
          <cell r="D127" t="str">
            <v>Tran &lt;230kV</v>
          </cell>
          <cell r="E127" t="str">
            <v>Tran &lt;230kV</v>
          </cell>
          <cell r="AJ127">
            <v>42004.923954460326</v>
          </cell>
          <cell r="RB127">
            <v>2.7846010180161644</v>
          </cell>
        </row>
        <row r="128">
          <cell r="A128" t="str">
            <v>IS</v>
          </cell>
          <cell r="C128" t="str">
            <v>FLEC_IT2TA</v>
          </cell>
          <cell r="D128" t="str">
            <v>Tran &lt;230kV</v>
          </cell>
          <cell r="E128" t="str">
            <v>Tran &lt;230kV</v>
          </cell>
          <cell r="AJ128">
            <v>2313504.1746135531</v>
          </cell>
          <cell r="RB128">
            <v>63.117623075033052</v>
          </cell>
        </row>
        <row r="129">
          <cell r="A129" t="str">
            <v>IS</v>
          </cell>
          <cell r="C129" t="str">
            <v>FLEC_IT2TA</v>
          </cell>
          <cell r="D129" t="str">
            <v>Tran &gt;230kV</v>
          </cell>
          <cell r="E129" t="str">
            <v>Tran &gt;230kV</v>
          </cell>
          <cell r="AJ129">
            <v>464281.77809091395</v>
          </cell>
          <cell r="RB129">
            <v>10.210203732725937</v>
          </cell>
        </row>
        <row r="130">
          <cell r="AJ130">
            <v>2953036.513909969</v>
          </cell>
          <cell r="RB130">
            <v>90.035432915855978</v>
          </cell>
        </row>
        <row r="132">
          <cell r="AJ132">
            <v>7525199.0536281178</v>
          </cell>
          <cell r="RB132">
            <v>1752.4422406715059</v>
          </cell>
        </row>
        <row r="133">
          <cell r="AJ133">
            <v>0</v>
          </cell>
        </row>
        <row r="135">
          <cell r="A135" t="str">
            <v>LS</v>
          </cell>
          <cell r="C135" t="str">
            <v>FLEO_LS1U</v>
          </cell>
          <cell r="D135" t="str">
            <v>Sec.</v>
          </cell>
          <cell r="E135" t="str">
            <v>Sec.</v>
          </cell>
          <cell r="RB135">
            <v>780420.87493555038</v>
          </cell>
        </row>
        <row r="136">
          <cell r="A136" t="str">
            <v>LS</v>
          </cell>
          <cell r="C136" t="str">
            <v>FLEO_LS1U1</v>
          </cell>
          <cell r="D136" t="str">
            <v>Sec.</v>
          </cell>
          <cell r="E136" t="str">
            <v>Sec.</v>
          </cell>
          <cell r="RB136">
            <v>1137.3188266072909</v>
          </cell>
        </row>
        <row r="137">
          <cell r="RB137">
            <v>781558.19376215769</v>
          </cell>
        </row>
        <row r="139">
          <cell r="A139" t="str">
            <v>LS</v>
          </cell>
          <cell r="C139" t="str">
            <v>FLEO_LS1M</v>
          </cell>
          <cell r="D139" t="str">
            <v>Sec.</v>
          </cell>
          <cell r="E139" t="str">
            <v>Sec.</v>
          </cell>
          <cell r="RB139">
            <v>13187.681329806926</v>
          </cell>
        </row>
        <row r="141">
          <cell r="RB141">
            <v>794745.87509196461</v>
          </cell>
        </row>
        <row r="142">
          <cell r="AJ142" t="str">
            <v>Specified Standby Capacity</v>
          </cell>
        </row>
        <row r="144">
          <cell r="A144" t="str">
            <v>SS-1</v>
          </cell>
          <cell r="C144" t="str">
            <v>FLEC_SS1P</v>
          </cell>
          <cell r="D144" t="str">
            <v>Primary</v>
          </cell>
          <cell r="E144" t="str">
            <v>Primary</v>
          </cell>
          <cell r="AJ144">
            <v>253660.31999999995</v>
          </cell>
          <cell r="RB144">
            <v>2.9000146034110803</v>
          </cell>
        </row>
        <row r="145">
          <cell r="A145" t="str">
            <v>SS-1</v>
          </cell>
          <cell r="C145" t="str">
            <v>FLEC_SS1PA</v>
          </cell>
          <cell r="D145" t="str">
            <v>Primary</v>
          </cell>
          <cell r="E145" t="str">
            <v>Primary</v>
          </cell>
          <cell r="AJ145">
            <v>0</v>
          </cell>
          <cell r="RB145">
            <v>38.666861378814403</v>
          </cell>
        </row>
        <row r="146">
          <cell r="A146" t="str">
            <v>SS-1</v>
          </cell>
          <cell r="C146" t="str">
            <v>FLEC_SS1PA</v>
          </cell>
          <cell r="D146" t="str">
            <v>Tran &lt;230kV</v>
          </cell>
          <cell r="E146" t="str">
            <v>Primary</v>
          </cell>
          <cell r="AJ146">
            <v>0</v>
          </cell>
          <cell r="RB146">
            <v>9.6667153447036007</v>
          </cell>
        </row>
        <row r="147">
          <cell r="A147" t="str">
            <v>SS-1</v>
          </cell>
          <cell r="C147" t="str">
            <v>FLEC_SS1T</v>
          </cell>
          <cell r="D147" t="str">
            <v>Tran &lt;230kV</v>
          </cell>
          <cell r="E147" t="str">
            <v>Tran &lt;230kV</v>
          </cell>
          <cell r="AJ147">
            <v>272832</v>
          </cell>
          <cell r="RB147">
            <v>3.866686137881441</v>
          </cell>
        </row>
        <row r="148">
          <cell r="A148" t="str">
            <v>SS-1</v>
          </cell>
          <cell r="C148" t="str">
            <v>FLEC_SS1TA</v>
          </cell>
          <cell r="D148" t="str">
            <v>Tran &lt;230kV</v>
          </cell>
          <cell r="E148" t="str">
            <v>Tran &lt;230kV</v>
          </cell>
          <cell r="AJ148">
            <v>0</v>
          </cell>
          <cell r="RB148">
            <v>52.200262861399452</v>
          </cell>
        </row>
        <row r="150">
          <cell r="AJ150">
            <v>526492.31999999995</v>
          </cell>
          <cell r="RB150">
            <v>107.30054032620998</v>
          </cell>
        </row>
        <row r="151">
          <cell r="AJ151">
            <v>0</v>
          </cell>
        </row>
        <row r="153">
          <cell r="A153" t="str">
            <v>SS-2</v>
          </cell>
          <cell r="C153" t="str">
            <v>FLEC_SS2P</v>
          </cell>
          <cell r="D153" t="str">
            <v>Primary</v>
          </cell>
          <cell r="E153" t="str">
            <v>Primary</v>
          </cell>
          <cell r="AJ153">
            <v>339240</v>
          </cell>
          <cell r="RB153">
            <v>0.88124345240561608</v>
          </cell>
        </row>
        <row r="154">
          <cell r="A154" t="str">
            <v>SS-2</v>
          </cell>
          <cell r="C154" t="str">
            <v>FLEC_SS2PA</v>
          </cell>
          <cell r="D154" t="str">
            <v>Primary</v>
          </cell>
          <cell r="E154" t="str">
            <v>Primary</v>
          </cell>
          <cell r="AJ154">
            <v>0</v>
          </cell>
          <cell r="RB154">
            <v>9.6936779764617746</v>
          </cell>
        </row>
        <row r="155">
          <cell r="A155" t="str">
            <v>SS-2</v>
          </cell>
          <cell r="C155" t="str">
            <v>FLEC_SS2PA</v>
          </cell>
          <cell r="D155" t="str">
            <v>Tran &lt;230kV</v>
          </cell>
          <cell r="E155" t="str">
            <v>Primary</v>
          </cell>
          <cell r="AJ155">
            <v>0</v>
          </cell>
          <cell r="RB155">
            <v>10.574921428867393</v>
          </cell>
        </row>
        <row r="156">
          <cell r="A156" t="str">
            <v>SS-2</v>
          </cell>
          <cell r="C156" t="str">
            <v>FLEC_SS2T</v>
          </cell>
          <cell r="D156" t="str">
            <v>Tran &lt;230kV</v>
          </cell>
          <cell r="E156" t="str">
            <v>Tran &lt;230kV</v>
          </cell>
          <cell r="AJ156">
            <v>120000</v>
          </cell>
          <cell r="RB156">
            <v>0.88124345240561608</v>
          </cell>
        </row>
        <row r="157">
          <cell r="A157" t="str">
            <v>SS-2</v>
          </cell>
          <cell r="C157" t="str">
            <v>FLEC_SS2TA</v>
          </cell>
          <cell r="D157" t="str">
            <v>Tran &lt;230kV</v>
          </cell>
          <cell r="E157" t="str">
            <v>Tran &lt;230kV</v>
          </cell>
          <cell r="AJ157">
            <v>0</v>
          </cell>
          <cell r="RB157">
            <v>8.8124345240561617</v>
          </cell>
        </row>
        <row r="159">
          <cell r="AJ159">
            <v>459240</v>
          </cell>
          <cell r="RB159">
            <v>30.843520834196561</v>
          </cell>
        </row>
        <row r="160">
          <cell r="AJ160">
            <v>0</v>
          </cell>
        </row>
        <row r="162">
          <cell r="A162" t="str">
            <v>SS-3</v>
          </cell>
          <cell r="C162" t="str">
            <v>FLEC_SS3P</v>
          </cell>
          <cell r="D162" t="str">
            <v>Primary</v>
          </cell>
          <cell r="E162" t="str">
            <v>Primary</v>
          </cell>
          <cell r="AJ162">
            <v>296317.70399999997</v>
          </cell>
          <cell r="RB162">
            <v>0.84982137940195002</v>
          </cell>
        </row>
        <row r="163">
          <cell r="A163" t="str">
            <v>SS-3</v>
          </cell>
          <cell r="C163" t="str">
            <v>FLEC_SS3PA</v>
          </cell>
          <cell r="D163" t="str">
            <v>Primary</v>
          </cell>
          <cell r="E163" t="str">
            <v>Primary</v>
          </cell>
          <cell r="AJ163">
            <v>0</v>
          </cell>
          <cell r="RB163">
            <v>9.3480351734214508</v>
          </cell>
        </row>
        <row r="165">
          <cell r="AJ165">
            <v>296317.70399999997</v>
          </cell>
          <cell r="RB165">
            <v>10.197856552823401</v>
          </cell>
        </row>
        <row r="166">
          <cell r="AJ166">
            <v>0</v>
          </cell>
        </row>
        <row r="169">
          <cell r="RB169">
            <v>0</v>
          </cell>
        </row>
        <row r="171">
          <cell r="AJ171">
            <v>46312684.754380502</v>
          </cell>
          <cell r="RB171">
            <v>25243914.575230047</v>
          </cell>
        </row>
        <row r="174">
          <cell r="C174" t="str">
            <v>Use of Standby Volumes for SS Rates</v>
          </cell>
        </row>
        <row r="175">
          <cell r="C175" t="str">
            <v>FLEC_CG095</v>
          </cell>
        </row>
        <row r="176">
          <cell r="C176" t="str">
            <v>FLEC_CG096</v>
          </cell>
        </row>
        <row r="177">
          <cell r="C177" t="str">
            <v>FLEC_CG296</v>
          </cell>
        </row>
        <row r="178">
          <cell r="C178" t="str">
            <v>Revenue Calculation exludes the Powef Factor Revenue</v>
          </cell>
        </row>
        <row r="179">
          <cell r="C179" t="str">
            <v>Needs a colmn added in the monthly BC File</v>
          </cell>
        </row>
        <row r="180">
          <cell r="C180" t="str">
            <v>BC Report KW for SS-1 + SS-2 + SS-3 versus Specified Standby Capacity</v>
          </cell>
        </row>
        <row r="181">
          <cell r="C181" t="str">
            <v>Daily Demands from tab SS</v>
          </cell>
        </row>
      </sheetData>
      <sheetData sheetId="28"/>
      <sheetData sheetId="29"/>
      <sheetData sheetId="30"/>
      <sheetData sheetId="31"/>
      <sheetData sheetId="32"/>
      <sheetData sheetId="33">
        <row r="36">
          <cell r="N36">
            <v>39641871.991407506</v>
          </cell>
        </row>
      </sheetData>
      <sheetData sheetId="34">
        <row r="36">
          <cell r="N36">
            <v>39688948.760817453</v>
          </cell>
        </row>
      </sheetData>
      <sheetData sheetId="35">
        <row r="36">
          <cell r="N36">
            <v>40470309.298318207</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persons/person.xml><?xml version="1.0" encoding="utf-8"?>
<personList xmlns="http://schemas.microsoft.com/office/spreadsheetml/2018/threadedcomments" xmlns:x="http://schemas.openxmlformats.org/spreadsheetml/2006/main">
  <person displayName="Develle, Penney" id="{57BACFAB-337B-4A8D-8CA9-0C4A5E32F033}" userId="Penney.Develle@duke-energy.com" providerId="PeoplePicker"/>
  <person displayName="Yager, Kourtni M." id="{8736581B-1E43-499B-A4C6-F3ABB53D8B79}" userId="S::kourtni.yager@duke-energy.com::49f2b28e-428f-4eeb-b7ba-d64a90f768f1" providerId="AD"/>
  <person displayName="Develle, Penney" id="{CEF220C7-4350-4ED5-B128-02130C85C058}" userId="S::penney.develle@duke-energy.com::577c9985-be88-42c2-8a15-04c66f57355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83" dT="2023-07-17T16:48:19.55" personId="{8736581B-1E43-499B-A4C6-F3ABB53D8B79}" id="{DB46BF74-F98B-4AA6-AE93-0FF4988F345D}">
    <text>Not included in Sales Forecast</text>
  </threadedComment>
  <threadedComment ref="V183" dT="2023-07-17T16:48:35.40" personId="{8736581B-1E43-499B-A4C6-F3ABB53D8B79}" id="{D4EDCEEC-D7F8-4F27-9B44-2398BCA4F7B3}">
    <text>Confirm w/ @Develle, Penney</text>
    <mentions>
      <mention mentionpersonId="{57BACFAB-337B-4A8D-8CA9-0C4A5E32F033}" mentionId="{EEAA9D5A-C77B-436E-8BB6-A85974502E02}" startIndex="11" length="16"/>
    </mentions>
  </threadedComment>
  <threadedComment ref="V183" dT="2023-07-20T13:16:47.26" personId="{CEF220C7-4350-4ED5-B128-02130C85C058}" id="{B4FC560F-FAD1-47B7-B074-E24EE1E32708}" parentId="{D4EDCEEC-D7F8-4F27-9B44-2398BCA4F7B3}">
    <text xml:space="preserve">The total base revenue is in the tab "by Class - All Yrs" row number 205_x000D_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706-4E05-4396-BA6D-2DDBB39E66D3}">
  <dimension ref="A3:BK272"/>
  <sheetViews>
    <sheetView tabSelected="1" zoomScale="40" zoomScaleNormal="40" workbookViewId="0">
      <selection activeCell="G65" sqref="G65"/>
    </sheetView>
  </sheetViews>
  <sheetFormatPr defaultColWidth="8.81640625" defaultRowHeight="14.4" x14ac:dyDescent="0.3"/>
  <cols>
    <col min="1" max="1" width="5.08984375" style="277" customWidth="1"/>
    <col min="2" max="2" width="5.08984375" style="278" customWidth="1"/>
    <col min="3" max="3" width="24.81640625" style="278" customWidth="1"/>
    <col min="4" max="4" width="14.08984375" style="278" bestFit="1" customWidth="1"/>
    <col min="5" max="5" width="10.08984375" style="278" bestFit="1" customWidth="1"/>
    <col min="6" max="6" width="10.54296875" style="278" customWidth="1"/>
    <col min="7" max="7" width="10.81640625" style="278" bestFit="1" customWidth="1"/>
    <col min="8" max="9" width="10.08984375" style="278" customWidth="1"/>
    <col min="10" max="10" width="8.81640625" style="278" bestFit="1" customWidth="1"/>
    <col min="11" max="11" width="10.08984375" style="278" bestFit="1" customWidth="1"/>
    <col min="12" max="12" width="11.08984375" style="278" customWidth="1"/>
    <col min="13" max="13" width="10.1796875" style="278" bestFit="1" customWidth="1"/>
    <col min="14" max="15" width="9.81640625" style="278" customWidth="1"/>
    <col min="16" max="16" width="8.81640625" style="278" customWidth="1"/>
    <col min="17" max="17" width="9.81640625" style="278" bestFit="1" customWidth="1"/>
    <col min="18" max="18" width="9.54296875" style="278" customWidth="1"/>
    <col min="19" max="19" width="9.81640625" style="278" bestFit="1" customWidth="1"/>
    <col min="20" max="20" width="8.81640625" style="278" bestFit="1" customWidth="1"/>
    <col min="21" max="21" width="9" style="278" customWidth="1"/>
    <col min="22" max="22" width="9.36328125" style="278" bestFit="1" customWidth="1"/>
    <col min="23" max="23" width="10.81640625" style="278" bestFit="1" customWidth="1"/>
    <col min="24" max="25" width="8.81640625" style="278" bestFit="1" customWidth="1"/>
    <col min="26" max="26" width="10.81640625" style="278" bestFit="1" customWidth="1"/>
    <col min="27" max="27" width="8.08984375" style="278" bestFit="1" customWidth="1"/>
    <col min="28" max="28" width="10.81640625" style="278" bestFit="1" customWidth="1"/>
    <col min="29" max="29" width="7.81640625" style="278" customWidth="1"/>
    <col min="30" max="40" width="8.08984375" style="278" bestFit="1" customWidth="1"/>
    <col min="41" max="41" width="8.54296875" style="278" bestFit="1" customWidth="1"/>
    <col min="42" max="52" width="8.08984375" style="278" bestFit="1" customWidth="1"/>
    <col min="53" max="16384" width="8.81640625" style="278"/>
  </cols>
  <sheetData>
    <row r="3" spans="1:19" x14ac:dyDescent="0.3">
      <c r="A3" s="277" t="s">
        <v>258</v>
      </c>
    </row>
    <row r="4" spans="1:19" x14ac:dyDescent="0.3">
      <c r="A4" s="278"/>
      <c r="B4" s="279" t="s">
        <v>259</v>
      </c>
      <c r="C4" s="277" t="s">
        <v>260</v>
      </c>
    </row>
    <row r="6" spans="1:19" x14ac:dyDescent="0.3">
      <c r="A6" s="277" t="s">
        <v>261</v>
      </c>
    </row>
    <row r="7" spans="1:19" x14ac:dyDescent="0.3">
      <c r="A7" s="277">
        <v>1</v>
      </c>
      <c r="B7" s="278" t="s">
        <v>262</v>
      </c>
    </row>
    <row r="8" spans="1:19" x14ac:dyDescent="0.3">
      <c r="B8" s="278" t="s">
        <v>263</v>
      </c>
      <c r="F8" s="280" t="s">
        <v>264</v>
      </c>
    </row>
    <row r="9" spans="1:19" x14ac:dyDescent="0.3">
      <c r="B9" s="281" t="s">
        <v>265</v>
      </c>
    </row>
    <row r="10" spans="1:19" x14ac:dyDescent="0.3">
      <c r="B10" s="278" t="s">
        <v>6</v>
      </c>
      <c r="F10" s="282" t="s">
        <v>266</v>
      </c>
    </row>
    <row r="11" spans="1:19" x14ac:dyDescent="0.3">
      <c r="F11" s="282" t="s">
        <v>267</v>
      </c>
    </row>
    <row r="12" spans="1:19" x14ac:dyDescent="0.3">
      <c r="F12" s="282" t="s">
        <v>268</v>
      </c>
    </row>
    <row r="13" spans="1:19" x14ac:dyDescent="0.3">
      <c r="F13" s="283"/>
    </row>
    <row r="14" spans="1:19" x14ac:dyDescent="0.3">
      <c r="F14" s="283"/>
    </row>
    <row r="15" spans="1:19" x14ac:dyDescent="0.3">
      <c r="F15" s="283"/>
    </row>
    <row r="16" spans="1:19" x14ac:dyDescent="0.3">
      <c r="F16" s="282" t="s">
        <v>269</v>
      </c>
      <c r="H16" s="284" t="s">
        <v>254</v>
      </c>
      <c r="S16" s="285"/>
    </row>
    <row r="17" spans="1:39" x14ac:dyDescent="0.3">
      <c r="F17" s="284" t="s">
        <v>270</v>
      </c>
      <c r="H17" s="284" t="s">
        <v>271</v>
      </c>
      <c r="S17" s="285"/>
    </row>
    <row r="18" spans="1:39" x14ac:dyDescent="0.3">
      <c r="F18" s="284" t="s">
        <v>272</v>
      </c>
      <c r="H18" s="284" t="s">
        <v>273</v>
      </c>
      <c r="S18" s="285"/>
    </row>
    <row r="19" spans="1:39" x14ac:dyDescent="0.3">
      <c r="F19" s="283"/>
      <c r="S19" s="285"/>
    </row>
    <row r="20" spans="1:39" x14ac:dyDescent="0.3">
      <c r="B20" s="283" t="s">
        <v>274</v>
      </c>
      <c r="D20" s="284" t="s">
        <v>275</v>
      </c>
      <c r="E20" s="284">
        <v>2025</v>
      </c>
      <c r="F20" s="286">
        <v>45658</v>
      </c>
      <c r="G20" s="286">
        <v>45689</v>
      </c>
      <c r="H20" s="286">
        <v>45717</v>
      </c>
      <c r="I20" s="286">
        <v>45748</v>
      </c>
      <c r="J20" s="286">
        <v>45778</v>
      </c>
      <c r="K20" s="286">
        <v>45809</v>
      </c>
      <c r="L20" s="286">
        <v>45839</v>
      </c>
      <c r="M20" s="286">
        <v>45870</v>
      </c>
      <c r="N20" s="286">
        <v>45901</v>
      </c>
      <c r="O20" s="286"/>
      <c r="P20" s="286">
        <v>45931</v>
      </c>
      <c r="Q20" s="286">
        <v>45962</v>
      </c>
      <c r="R20" s="286">
        <v>45992</v>
      </c>
      <c r="S20" s="285"/>
    </row>
    <row r="21" spans="1:39" x14ac:dyDescent="0.3">
      <c r="B21" s="283" t="s">
        <v>274</v>
      </c>
      <c r="D21" s="284" t="s">
        <v>276</v>
      </c>
      <c r="E21" s="284">
        <v>2026</v>
      </c>
      <c r="F21" s="286">
        <v>46023</v>
      </c>
      <c r="G21" s="286">
        <v>46054</v>
      </c>
      <c r="H21" s="286">
        <v>46082</v>
      </c>
      <c r="I21" s="286">
        <v>46113</v>
      </c>
      <c r="J21" s="286">
        <v>46143</v>
      </c>
      <c r="K21" s="286">
        <v>46174</v>
      </c>
      <c r="L21" s="286">
        <v>46204</v>
      </c>
      <c r="M21" s="286">
        <v>46235</v>
      </c>
      <c r="N21" s="286">
        <v>46266</v>
      </c>
      <c r="O21" s="286"/>
      <c r="P21" s="286">
        <v>46296</v>
      </c>
      <c r="Q21" s="286">
        <v>46327</v>
      </c>
      <c r="R21" s="286">
        <v>46357</v>
      </c>
      <c r="S21" s="285"/>
    </row>
    <row r="22" spans="1:39" x14ac:dyDescent="0.3">
      <c r="B22" s="283" t="s">
        <v>274</v>
      </c>
      <c r="D22" s="284" t="s">
        <v>277</v>
      </c>
      <c r="E22" s="284">
        <v>2027</v>
      </c>
      <c r="F22" s="286">
        <v>46388</v>
      </c>
      <c r="G22" s="286">
        <v>46419</v>
      </c>
      <c r="H22" s="286">
        <v>46447</v>
      </c>
      <c r="I22" s="286">
        <v>46478</v>
      </c>
      <c r="J22" s="286">
        <v>46508</v>
      </c>
      <c r="K22" s="286">
        <v>46539</v>
      </c>
      <c r="L22" s="286">
        <v>46569</v>
      </c>
      <c r="M22" s="286">
        <v>46600</v>
      </c>
      <c r="N22" s="286">
        <v>46631</v>
      </c>
      <c r="O22" s="286"/>
      <c r="P22" s="286">
        <v>46661</v>
      </c>
      <c r="Q22" s="286">
        <v>46692</v>
      </c>
      <c r="R22" s="286">
        <v>46722</v>
      </c>
      <c r="S22" s="287"/>
      <c r="T22" s="288"/>
    </row>
    <row r="23" spans="1:39" x14ac:dyDescent="0.3">
      <c r="B23" s="283"/>
    </row>
    <row r="24" spans="1:39" x14ac:dyDescent="0.3">
      <c r="B24" s="283"/>
    </row>
    <row r="25" spans="1:39" x14ac:dyDescent="0.3">
      <c r="A25" s="277">
        <f>A7+1</f>
        <v>2</v>
      </c>
      <c r="B25" s="278" t="s">
        <v>278</v>
      </c>
      <c r="D25" s="289" t="s">
        <v>279</v>
      </c>
      <c r="E25" s="290"/>
      <c r="F25" s="291" t="s">
        <v>280</v>
      </c>
      <c r="G25" s="291"/>
      <c r="H25" s="291"/>
      <c r="I25" s="291"/>
      <c r="J25" s="291"/>
      <c r="K25" s="291"/>
      <c r="L25" s="291"/>
      <c r="M25" s="291"/>
      <c r="N25" s="291"/>
      <c r="O25" s="291"/>
      <c r="P25" s="290"/>
      <c r="Q25" s="291" t="s">
        <v>281</v>
      </c>
      <c r="R25" s="291"/>
      <c r="S25" s="291"/>
      <c r="T25" s="291"/>
      <c r="U25" s="291"/>
      <c r="V25" s="291"/>
      <c r="W25" s="291"/>
      <c r="X25" s="291"/>
      <c r="Y25" s="291"/>
      <c r="Z25" s="291"/>
      <c r="AA25" s="290"/>
      <c r="AB25" s="290"/>
      <c r="AC25" s="291" t="s">
        <v>282</v>
      </c>
      <c r="AD25" s="291"/>
      <c r="AE25" s="291"/>
      <c r="AF25" s="291"/>
      <c r="AG25" s="291"/>
      <c r="AH25" s="291"/>
      <c r="AI25" s="291"/>
      <c r="AJ25" s="291"/>
      <c r="AK25" s="291"/>
      <c r="AL25" s="291"/>
      <c r="AM25" s="290"/>
    </row>
    <row r="26" spans="1:39" x14ac:dyDescent="0.3">
      <c r="B26" s="279" t="s">
        <v>259</v>
      </c>
      <c r="C26" s="278" t="s">
        <v>283</v>
      </c>
      <c r="F26" s="292"/>
      <c r="G26" s="292"/>
      <c r="H26" s="292" t="s">
        <v>33</v>
      </c>
      <c r="I26" s="292" t="s">
        <v>33</v>
      </c>
      <c r="J26" s="292" t="s">
        <v>33</v>
      </c>
      <c r="M26" s="293"/>
      <c r="N26" s="293"/>
      <c r="O26" s="293"/>
      <c r="Q26" s="292"/>
      <c r="R26" s="292"/>
      <c r="S26" s="292" t="s">
        <v>33</v>
      </c>
      <c r="T26" s="292" t="s">
        <v>33</v>
      </c>
      <c r="U26" s="292" t="s">
        <v>33</v>
      </c>
      <c r="X26" s="293"/>
      <c r="Y26" s="293"/>
      <c r="AB26" s="290"/>
      <c r="AC26" s="292"/>
      <c r="AD26" s="292"/>
      <c r="AE26" s="292" t="s">
        <v>33</v>
      </c>
      <c r="AF26" s="292" t="s">
        <v>33</v>
      </c>
      <c r="AG26" s="292" t="s">
        <v>33</v>
      </c>
      <c r="AJ26" s="293"/>
      <c r="AK26" s="293"/>
    </row>
    <row r="27" spans="1:39" x14ac:dyDescent="0.3">
      <c r="F27" s="292" t="s">
        <v>37</v>
      </c>
      <c r="G27" s="292" t="s">
        <v>38</v>
      </c>
      <c r="H27" s="292" t="s">
        <v>39</v>
      </c>
      <c r="I27" s="294" t="s">
        <v>40</v>
      </c>
      <c r="J27" s="292" t="s">
        <v>41</v>
      </c>
      <c r="K27" s="292" t="s">
        <v>46</v>
      </c>
      <c r="L27" s="292" t="s">
        <v>42</v>
      </c>
      <c r="M27" s="357" t="s">
        <v>43</v>
      </c>
      <c r="N27" s="357"/>
      <c r="O27" s="295" t="s">
        <v>284</v>
      </c>
      <c r="Q27" s="292" t="s">
        <v>37</v>
      </c>
      <c r="R27" s="292" t="s">
        <v>38</v>
      </c>
      <c r="S27" s="292" t="s">
        <v>39</v>
      </c>
      <c r="T27" s="294" t="s">
        <v>40</v>
      </c>
      <c r="U27" s="292" t="s">
        <v>41</v>
      </c>
      <c r="V27" s="292" t="s">
        <v>46</v>
      </c>
      <c r="W27" s="292" t="s">
        <v>42</v>
      </c>
      <c r="X27" s="296" t="s">
        <v>43</v>
      </c>
      <c r="Y27" s="297"/>
      <c r="Z27" s="292" t="s">
        <v>284</v>
      </c>
      <c r="AB27" s="290"/>
      <c r="AC27" s="292" t="s">
        <v>37</v>
      </c>
      <c r="AD27" s="292" t="s">
        <v>38</v>
      </c>
      <c r="AE27" s="292" t="s">
        <v>39</v>
      </c>
      <c r="AF27" s="294" t="s">
        <v>40</v>
      </c>
      <c r="AG27" s="292" t="s">
        <v>41</v>
      </c>
      <c r="AH27" s="292" t="s">
        <v>46</v>
      </c>
      <c r="AI27" s="292" t="s">
        <v>42</v>
      </c>
      <c r="AJ27" s="296" t="s">
        <v>43</v>
      </c>
      <c r="AK27" s="297"/>
      <c r="AL27" s="292" t="s">
        <v>284</v>
      </c>
    </row>
    <row r="28" spans="1:39" x14ac:dyDescent="0.3">
      <c r="F28" s="298" t="s">
        <v>48</v>
      </c>
      <c r="G28" s="298" t="s">
        <v>49</v>
      </c>
      <c r="H28" s="298" t="s">
        <v>50</v>
      </c>
      <c r="I28" s="298" t="s">
        <v>51</v>
      </c>
      <c r="J28" s="298" t="s">
        <v>52</v>
      </c>
      <c r="K28" s="298" t="s">
        <v>57</v>
      </c>
      <c r="L28" s="299" t="s">
        <v>58</v>
      </c>
      <c r="M28" s="298" t="s">
        <v>54</v>
      </c>
      <c r="N28" s="298" t="s">
        <v>55</v>
      </c>
      <c r="O28" s="298" t="s">
        <v>44</v>
      </c>
      <c r="P28" s="285" t="s">
        <v>45</v>
      </c>
      <c r="Q28" s="298" t="s">
        <v>48</v>
      </c>
      <c r="R28" s="298" t="s">
        <v>49</v>
      </c>
      <c r="S28" s="298" t="s">
        <v>50</v>
      </c>
      <c r="T28" s="298" t="s">
        <v>51</v>
      </c>
      <c r="U28" s="298" t="s">
        <v>52</v>
      </c>
      <c r="V28" s="298" t="s">
        <v>57</v>
      </c>
      <c r="W28" s="299" t="s">
        <v>58</v>
      </c>
      <c r="X28" s="298" t="s">
        <v>54</v>
      </c>
      <c r="Y28" s="298" t="s">
        <v>55</v>
      </c>
      <c r="Z28" s="299" t="s">
        <v>44</v>
      </c>
      <c r="AA28" s="285" t="s">
        <v>45</v>
      </c>
      <c r="AB28" s="290"/>
      <c r="AC28" s="298" t="s">
        <v>48</v>
      </c>
      <c r="AD28" s="298" t="s">
        <v>49</v>
      </c>
      <c r="AE28" s="298" t="s">
        <v>50</v>
      </c>
      <c r="AF28" s="298" t="s">
        <v>51</v>
      </c>
      <c r="AG28" s="298" t="s">
        <v>52</v>
      </c>
      <c r="AH28" s="298" t="s">
        <v>57</v>
      </c>
      <c r="AI28" s="299" t="s">
        <v>58</v>
      </c>
      <c r="AJ28" s="298" t="s">
        <v>54</v>
      </c>
      <c r="AK28" s="298" t="s">
        <v>55</v>
      </c>
      <c r="AL28" s="299" t="s">
        <v>44</v>
      </c>
      <c r="AM28" s="285" t="s">
        <v>45</v>
      </c>
    </row>
    <row r="29" spans="1:39" ht="18" x14ac:dyDescent="0.3">
      <c r="D29" s="300"/>
      <c r="E29" s="300">
        <v>2027</v>
      </c>
      <c r="F29" s="292"/>
      <c r="G29" s="292"/>
      <c r="H29" s="292"/>
      <c r="I29" s="292"/>
      <c r="J29" s="292"/>
      <c r="K29" s="292"/>
      <c r="M29" s="292"/>
      <c r="N29" s="292"/>
      <c r="O29" s="292"/>
      <c r="Q29" s="292"/>
      <c r="R29" s="292"/>
      <c r="S29" s="292"/>
      <c r="T29" s="292"/>
      <c r="U29" s="292"/>
      <c r="V29" s="292"/>
      <c r="X29" s="292"/>
      <c r="Y29" s="292"/>
      <c r="AB29" s="290"/>
    </row>
    <row r="30" spans="1:39" x14ac:dyDescent="0.3">
      <c r="D30" s="89" t="s">
        <v>285</v>
      </c>
      <c r="F30" s="301">
        <f>'[1]MFR E-6'!$AD$12</f>
        <v>1329953.6038678368</v>
      </c>
      <c r="G30" s="301">
        <f>'[1]MFR E-6'!$AE$12</f>
        <v>806922.76141491649</v>
      </c>
      <c r="H30" s="301">
        <f>'[1]MFR E-6'!$AF$12</f>
        <v>71604.702032244328</v>
      </c>
      <c r="I30" s="301">
        <f>'[1]MFR E-6'!$AG$12</f>
        <v>5013.9250865817448</v>
      </c>
      <c r="J30" s="301">
        <f>'[1]MFR E-6'!$AH$12</f>
        <v>377600.42721015622</v>
      </c>
      <c r="K30" s="301">
        <f>'[1]MFR E-6'!$AR$12</f>
        <v>4521.8422531506449</v>
      </c>
      <c r="L30" s="301">
        <f>'[1]MFR E-6'!$AQ$12</f>
        <v>61164.566241881832</v>
      </c>
      <c r="M30" s="301">
        <f>'[1]MFR E-6'!$AJ$12</f>
        <v>3125.3909690894166</v>
      </c>
      <c r="N30" s="301">
        <f>'[1]MFR E-6'!$AK$12</f>
        <v>0</v>
      </c>
      <c r="O30" s="301">
        <f>'[1]MFR E-6'!$AL$12</f>
        <v>0</v>
      </c>
      <c r="P30" s="302">
        <f>+F30-SUM(G30:O30)</f>
        <v>-1.1340183904394507E-2</v>
      </c>
      <c r="Q30" s="301">
        <f>'[1]MFR E-6'!$H$12</f>
        <v>1385938.6194160669</v>
      </c>
      <c r="R30" s="301">
        <f>'[1]MFR E-6'!$I$12</f>
        <v>840890.53855831036</v>
      </c>
      <c r="S30" s="301">
        <f>'[1]MFR E-6'!$J$12</f>
        <v>74618.935269361042</v>
      </c>
      <c r="T30" s="301">
        <f>'[1]MFR E-6'!$K$12</f>
        <v>5224.9885951985716</v>
      </c>
      <c r="U30" s="301">
        <f>'[1]MFR E-6'!$L$12</f>
        <v>393495.69282460969</v>
      </c>
      <c r="V30" s="301">
        <f>'[1]MFR E-6'!$V$12</f>
        <v>4712.1913060146271</v>
      </c>
      <c r="W30" s="301">
        <f>'[1]MFR E-6'!$U$12</f>
        <v>63739.317106944938</v>
      </c>
      <c r="X30" s="301">
        <f>'[1]MFR E-6'!$N$12</f>
        <v>3256.9557556277573</v>
      </c>
      <c r="Y30" s="301">
        <f>'[1]MFR E-6'!$O$12</f>
        <v>0</v>
      </c>
      <c r="Z30" s="301">
        <f>'[1]MFR E-6'!$P$12</f>
        <v>0</v>
      </c>
      <c r="AA30" s="302">
        <f>+Q30-SUM(R30:Z30)</f>
        <v>0</v>
      </c>
      <c r="AB30" s="290"/>
      <c r="AC30" s="302">
        <f t="shared" ref="AC30:AM41" si="0">Q30-F30</f>
        <v>55985.015548230149</v>
      </c>
      <c r="AD30" s="302">
        <f t="shared" si="0"/>
        <v>33967.777143393876</v>
      </c>
      <c r="AE30" s="302">
        <f t="shared" si="0"/>
        <v>3014.233237116714</v>
      </c>
      <c r="AF30" s="302">
        <f t="shared" si="0"/>
        <v>211.06350861682677</v>
      </c>
      <c r="AG30" s="302">
        <f t="shared" si="0"/>
        <v>15895.26561445347</v>
      </c>
      <c r="AH30" s="302">
        <f t="shared" si="0"/>
        <v>190.34905286398225</v>
      </c>
      <c r="AI30" s="302">
        <f t="shared" si="0"/>
        <v>2574.7508650631062</v>
      </c>
      <c r="AJ30" s="302">
        <f t="shared" si="0"/>
        <v>131.56478653834074</v>
      </c>
      <c r="AK30" s="302">
        <f t="shared" si="0"/>
        <v>0</v>
      </c>
      <c r="AL30" s="302">
        <f t="shared" si="0"/>
        <v>0</v>
      </c>
      <c r="AM30" s="302">
        <f t="shared" si="0"/>
        <v>1.1340183904394507E-2</v>
      </c>
    </row>
    <row r="31" spans="1:39" x14ac:dyDescent="0.3">
      <c r="D31" s="89" t="s">
        <v>63</v>
      </c>
      <c r="F31" s="301">
        <f>'[1]MFR E-6'!$AD$13</f>
        <v>246943.36863605163</v>
      </c>
      <c r="G31" s="301">
        <f>'[1]MFR E-6'!$AE$13</f>
        <v>153564.51511521204</v>
      </c>
      <c r="H31" s="301">
        <f>'[1]MFR E-6'!$AF$13</f>
        <v>18722.299244140781</v>
      </c>
      <c r="I31" s="301">
        <f>'[1]MFR E-6'!$AG$13</f>
        <v>1031.5724855702119</v>
      </c>
      <c r="J31" s="301">
        <f>'[1]MFR E-6'!$AH$13</f>
        <v>61737.508276769338</v>
      </c>
      <c r="K31" s="301">
        <f>'[1]MFR E-6'!$AR$13</f>
        <v>1005.5244631629732</v>
      </c>
      <c r="L31" s="301">
        <f>'[1]MFR E-6'!$AQ$13</f>
        <v>8575.2441413224733</v>
      </c>
      <c r="M31" s="301">
        <f>'[1]MFR E-6'!$AJ$13</f>
        <v>2306.7043106321994</v>
      </c>
      <c r="N31" s="301">
        <f>'[1]MFR E-6'!$AK$13</f>
        <v>0</v>
      </c>
      <c r="O31" s="301">
        <f>'[1]MFR E-6'!$AL$13</f>
        <v>0</v>
      </c>
      <c r="P31" s="302">
        <f t="shared" ref="P31:P42" si="1">+F31-SUM(G31:O31)</f>
        <v>5.9924164088442922E-4</v>
      </c>
      <c r="Q31" s="301">
        <f>'[1]MFR E-6'!$H$13</f>
        <v>261953.26288304615</v>
      </c>
      <c r="R31" s="301">
        <f>'[1]MFR E-6'!$I$13</f>
        <v>139519.28844937481</v>
      </c>
      <c r="S31" s="301">
        <f>'[1]MFR E-6'!$J$13</f>
        <v>14403.699995593377</v>
      </c>
      <c r="T31" s="301">
        <f>'[1]MFR E-6'!$K$13</f>
        <v>1361.6595229411371</v>
      </c>
      <c r="U31" s="301">
        <f>'[1]MFR E-6'!$L$13</f>
        <v>86437.33409966508</v>
      </c>
      <c r="V31" s="301">
        <f>'[1]MFR E-6'!$V$13</f>
        <v>1337.2124212862739</v>
      </c>
      <c r="W31" s="301">
        <f>'[1]MFR E-6'!$U$13</f>
        <v>16705.131194095502</v>
      </c>
      <c r="X31" s="301">
        <f>'[1]MFR E-6'!$N$13</f>
        <v>2188.9372000899725</v>
      </c>
      <c r="Y31" s="301">
        <f>'[1]MFR E-6'!$O$13</f>
        <v>0</v>
      </c>
      <c r="Z31" s="301">
        <f>'[1]MFR E-6'!$P$13</f>
        <v>0</v>
      </c>
      <c r="AA31" s="302">
        <f t="shared" ref="AA31:AA41" si="2">+Q31-SUM(R31:Z31)</f>
        <v>0</v>
      </c>
      <c r="AB31" s="290"/>
      <c r="AC31" s="302">
        <f t="shared" si="0"/>
        <v>15009.894246994518</v>
      </c>
      <c r="AD31" s="302">
        <f t="shared" si="0"/>
        <v>-14045.226665837225</v>
      </c>
      <c r="AE31" s="302">
        <f t="shared" si="0"/>
        <v>-4318.5992485474035</v>
      </c>
      <c r="AF31" s="302">
        <f t="shared" si="0"/>
        <v>330.08703737092515</v>
      </c>
      <c r="AG31" s="302">
        <f t="shared" si="0"/>
        <v>24699.825822895742</v>
      </c>
      <c r="AH31" s="302">
        <f t="shared" si="0"/>
        <v>331.68795812330063</v>
      </c>
      <c r="AI31" s="302">
        <f t="shared" si="0"/>
        <v>8129.8870527730287</v>
      </c>
      <c r="AJ31" s="302">
        <f t="shared" si="0"/>
        <v>-117.76711054222687</v>
      </c>
      <c r="AK31" s="302">
        <f t="shared" si="0"/>
        <v>0</v>
      </c>
      <c r="AL31" s="302">
        <f t="shared" si="0"/>
        <v>0</v>
      </c>
      <c r="AM31" s="302">
        <f t="shared" si="0"/>
        <v>-5.9924164088442922E-4</v>
      </c>
    </row>
    <row r="32" spans="1:39" x14ac:dyDescent="0.3">
      <c r="D32" s="89" t="s">
        <v>64</v>
      </c>
      <c r="F32" s="301">
        <f>'[1]MFR E-6'!$AD$14</f>
        <v>536668.49433264276</v>
      </c>
      <c r="G32" s="301">
        <f>'[1]MFR E-6'!$AE$14</f>
        <v>342284.71325039479</v>
      </c>
      <c r="H32" s="301">
        <f>'[1]MFR E-6'!$AF$14</f>
        <v>30447.659798721921</v>
      </c>
      <c r="I32" s="301">
        <f>'[1]MFR E-6'!$AG$14</f>
        <v>1761.6096463289778</v>
      </c>
      <c r="J32" s="301">
        <f>'[1]MFR E-6'!$AH$14</f>
        <v>140010.52086749912</v>
      </c>
      <c r="K32" s="301">
        <f>'[1]MFR E-6'!$AR$14</f>
        <v>1527.7784443992766</v>
      </c>
      <c r="L32" s="301">
        <f>'[1]MFR E-6'!$AQ$14</f>
        <v>20054.553614467764</v>
      </c>
      <c r="M32" s="301">
        <f>'[1]MFR E-6'!$AJ$14</f>
        <v>581.65871083094009</v>
      </c>
      <c r="N32" s="301">
        <f>'[1]MFR E-6'!$AK$14</f>
        <v>0</v>
      </c>
      <c r="O32" s="301">
        <f>'[1]MFR E-6'!$AL$14</f>
        <v>0</v>
      </c>
      <c r="P32" s="302">
        <f t="shared" si="1"/>
        <v>0</v>
      </c>
      <c r="Q32" s="301">
        <f>'[1]MFR E-6'!$H$14</f>
        <v>578387.6866992861</v>
      </c>
      <c r="R32" s="301">
        <f>'[1]MFR E-6'!$I$14</f>
        <v>365206.62109446566</v>
      </c>
      <c r="S32" s="301">
        <f>'[1]MFR E-6'!$J$14</f>
        <v>30923.803522982511</v>
      </c>
      <c r="T32" s="301">
        <f>'[1]MFR E-6'!$K$14</f>
        <v>1908.970655255438</v>
      </c>
      <c r="U32" s="301">
        <f>'[1]MFR E-6'!$L$14</f>
        <v>155333.93092803613</v>
      </c>
      <c r="V32" s="301">
        <f>'[1]MFR E-6'!$V$14</f>
        <v>1642.7795280285843</v>
      </c>
      <c r="W32" s="301">
        <f>'[1]MFR E-6'!$U$14</f>
        <v>23166.233529514204</v>
      </c>
      <c r="X32" s="301">
        <f>'[1]MFR E-6'!$N$14</f>
        <v>205.34744100357304</v>
      </c>
      <c r="Y32" s="301">
        <f>'[1]MFR E-6'!$O$14</f>
        <v>0</v>
      </c>
      <c r="Z32" s="301">
        <f>'[1]MFR E-6'!$P$14</f>
        <v>0</v>
      </c>
      <c r="AA32" s="302">
        <f t="shared" si="2"/>
        <v>0</v>
      </c>
      <c r="AB32" s="290"/>
      <c r="AC32" s="302">
        <f t="shared" si="0"/>
        <v>41719.192366643343</v>
      </c>
      <c r="AD32" s="302">
        <f t="shared" si="0"/>
        <v>22921.907844070869</v>
      </c>
      <c r="AE32" s="302">
        <f t="shared" si="0"/>
        <v>476.14372426058981</v>
      </c>
      <c r="AF32" s="302">
        <f t="shared" si="0"/>
        <v>147.36100892646027</v>
      </c>
      <c r="AG32" s="302">
        <f t="shared" si="0"/>
        <v>15323.410060537019</v>
      </c>
      <c r="AH32" s="302">
        <f t="shared" si="0"/>
        <v>115.00108362930769</v>
      </c>
      <c r="AI32" s="302">
        <f t="shared" si="0"/>
        <v>3111.6799150464394</v>
      </c>
      <c r="AJ32" s="302">
        <f t="shared" si="0"/>
        <v>-376.31126982736703</v>
      </c>
      <c r="AK32" s="302">
        <f t="shared" si="0"/>
        <v>0</v>
      </c>
      <c r="AL32" s="302">
        <f t="shared" si="0"/>
        <v>0</v>
      </c>
      <c r="AM32" s="302">
        <f t="shared" si="0"/>
        <v>0</v>
      </c>
    </row>
    <row r="33" spans="4:39" x14ac:dyDescent="0.3">
      <c r="D33" s="89" t="s">
        <v>65</v>
      </c>
      <c r="F33" s="301">
        <f>'[1]MFR E-6'!$AD$15</f>
        <v>713267.77712359186</v>
      </c>
      <c r="G33" s="301">
        <f>'[1]MFR E-6'!$AE$15</f>
        <v>462539.45577887452</v>
      </c>
      <c r="H33" s="301">
        <f>'[1]MFR E-6'!$AF$15</f>
        <v>43192.873299155093</v>
      </c>
      <c r="I33" s="301">
        <f>'[1]MFR E-6'!$AG$15</f>
        <v>1979.0941133725619</v>
      </c>
      <c r="J33" s="301">
        <f>'[1]MFR E-6'!$AH$15</f>
        <v>179873.40465338965</v>
      </c>
      <c r="K33" s="301">
        <f>'[1]MFR E-6'!$AR$15</f>
        <v>2781.0302725648835</v>
      </c>
      <c r="L33" s="301">
        <f>'[1]MFR E-6'!$AQ$15</f>
        <v>17205.124467796497</v>
      </c>
      <c r="M33" s="301">
        <f>'[1]MFR E-6'!$AJ$15</f>
        <v>5696.7945384387176</v>
      </c>
      <c r="N33" s="301">
        <f>'[1]MFR E-6'!$AK$15</f>
        <v>0</v>
      </c>
      <c r="O33" s="301">
        <f>'[1]MFR E-6'!$AL$15</f>
        <v>0</v>
      </c>
      <c r="P33" s="302">
        <f t="shared" si="1"/>
        <v>0</v>
      </c>
      <c r="Q33" s="301">
        <f>'[1]MFR E-6'!$H$15</f>
        <v>768872.66096911277</v>
      </c>
      <c r="R33" s="301">
        <f>'[1]MFR E-6'!$I$15</f>
        <v>495695.78452009714</v>
      </c>
      <c r="S33" s="301">
        <f>'[1]MFR E-6'!$J$15</f>
        <v>44762.182227734083</v>
      </c>
      <c r="T33" s="301">
        <f>'[1]MFR E-6'!$K$15</f>
        <v>2052.485885853353</v>
      </c>
      <c r="U33" s="301">
        <f>'[1]MFR E-6'!$L$15</f>
        <v>198167.10341741095</v>
      </c>
      <c r="V33" s="301">
        <f>'[1]MFR E-6'!$V$15</f>
        <v>3189.1214959474405</v>
      </c>
      <c r="W33" s="301">
        <f>'[1]MFR E-6'!$U$15</f>
        <v>18137.10635387545</v>
      </c>
      <c r="X33" s="301">
        <f>'[1]MFR E-6'!$N$15</f>
        <v>6868.8770681944879</v>
      </c>
      <c r="Y33" s="301">
        <f>'[1]MFR E-6'!$O$15</f>
        <v>0</v>
      </c>
      <c r="Z33" s="301">
        <f>'[1]MFR E-6'!$P$15</f>
        <v>0</v>
      </c>
      <c r="AA33" s="302">
        <f t="shared" si="2"/>
        <v>0</v>
      </c>
      <c r="AB33" s="290"/>
      <c r="AC33" s="302">
        <f t="shared" si="0"/>
        <v>55604.883845520904</v>
      </c>
      <c r="AD33" s="302">
        <f t="shared" si="0"/>
        <v>33156.32874122262</v>
      </c>
      <c r="AE33" s="302">
        <f t="shared" si="0"/>
        <v>1569.3089285789902</v>
      </c>
      <c r="AF33" s="302">
        <f t="shared" si="0"/>
        <v>73.391772480791133</v>
      </c>
      <c r="AG33" s="302">
        <f t="shared" si="0"/>
        <v>18293.698764021305</v>
      </c>
      <c r="AH33" s="302">
        <f t="shared" si="0"/>
        <v>408.09122338255702</v>
      </c>
      <c r="AI33" s="302">
        <f t="shared" si="0"/>
        <v>931.98188607895281</v>
      </c>
      <c r="AJ33" s="302">
        <f t="shared" si="0"/>
        <v>1172.0825297557703</v>
      </c>
      <c r="AK33" s="302">
        <f t="shared" si="0"/>
        <v>0</v>
      </c>
      <c r="AL33" s="302">
        <f t="shared" si="0"/>
        <v>0</v>
      </c>
      <c r="AM33" s="302">
        <f t="shared" si="0"/>
        <v>0</v>
      </c>
    </row>
    <row r="34" spans="4:39" x14ac:dyDescent="0.3">
      <c r="D34" s="89" t="s">
        <v>66</v>
      </c>
      <c r="F34" s="301">
        <f>'[1]MFR E-6'!$AD$16</f>
        <v>0</v>
      </c>
      <c r="G34" s="301">
        <f>'[1]MFR E-6'!$AE$16</f>
        <v>0</v>
      </c>
      <c r="H34" s="301">
        <f>'[1]MFR E-6'!$AF$16</f>
        <v>0</v>
      </c>
      <c r="I34" s="301">
        <f>'[1]MFR E-6'!$AG$16</f>
        <v>0</v>
      </c>
      <c r="J34" s="301">
        <f>'[1]MFR E-6'!$AH$16</f>
        <v>0</v>
      </c>
      <c r="K34" s="301">
        <f>'[1]MFR E-6'!$AR$16</f>
        <v>0</v>
      </c>
      <c r="L34" s="301">
        <f>'[1]MFR E-6'!$AQ$16</f>
        <v>0</v>
      </c>
      <c r="M34" s="301">
        <f>'[1]MFR E-6'!$AJ$16</f>
        <v>0</v>
      </c>
      <c r="N34" s="301">
        <f>'[1]MFR E-6'!$AK$16</f>
        <v>0</v>
      </c>
      <c r="O34" s="301">
        <f>'[1]MFR E-6'!$AL$16</f>
        <v>0</v>
      </c>
      <c r="P34" s="302">
        <f t="shared" si="1"/>
        <v>0</v>
      </c>
      <c r="Q34" s="301">
        <f>'[1]MFR E-6'!$H$16</f>
        <v>0</v>
      </c>
      <c r="R34" s="301">
        <f>'[1]MFR E-6'!$I$16</f>
        <v>0</v>
      </c>
      <c r="S34" s="301">
        <f>'[1]MFR E-6'!$J$16</f>
        <v>0</v>
      </c>
      <c r="T34" s="301">
        <f>'[1]MFR E-6'!$K$16</f>
        <v>0</v>
      </c>
      <c r="U34" s="301">
        <f>'[1]MFR E-6'!$L$16</f>
        <v>0</v>
      </c>
      <c r="V34" s="301">
        <f>'[1]MFR E-6'!$V$16</f>
        <v>0</v>
      </c>
      <c r="W34" s="301">
        <f>'[1]MFR E-6'!$U$16</f>
        <v>0</v>
      </c>
      <c r="X34" s="301">
        <f>'[1]MFR E-6'!$N$16</f>
        <v>0</v>
      </c>
      <c r="Y34" s="301">
        <f>'[1]MFR E-6'!$O$16</f>
        <v>0</v>
      </c>
      <c r="Z34" s="301">
        <f>'[1]MFR E-6'!$P$16</f>
        <v>0</v>
      </c>
      <c r="AA34" s="302">
        <f t="shared" si="2"/>
        <v>0</v>
      </c>
      <c r="AB34" s="290"/>
      <c r="AC34" s="302">
        <f t="shared" si="0"/>
        <v>0</v>
      </c>
      <c r="AD34" s="302">
        <f t="shared" si="0"/>
        <v>0</v>
      </c>
      <c r="AE34" s="302">
        <f t="shared" si="0"/>
        <v>0</v>
      </c>
      <c r="AF34" s="302">
        <f t="shared" si="0"/>
        <v>0</v>
      </c>
      <c r="AG34" s="302">
        <f t="shared" si="0"/>
        <v>0</v>
      </c>
      <c r="AH34" s="302">
        <f t="shared" si="0"/>
        <v>0</v>
      </c>
      <c r="AI34" s="302">
        <f t="shared" si="0"/>
        <v>0</v>
      </c>
      <c r="AJ34" s="302">
        <f t="shared" si="0"/>
        <v>0</v>
      </c>
      <c r="AK34" s="302">
        <f t="shared" si="0"/>
        <v>0</v>
      </c>
      <c r="AL34" s="302">
        <f t="shared" si="0"/>
        <v>0</v>
      </c>
      <c r="AM34" s="302">
        <f t="shared" si="0"/>
        <v>0</v>
      </c>
    </row>
    <row r="35" spans="4:39" x14ac:dyDescent="0.3">
      <c r="D35" s="89" t="s">
        <v>68</v>
      </c>
      <c r="F35" s="301">
        <f>'[1]MFR E-6'!$AD$17</f>
        <v>287770.12273699581</v>
      </c>
      <c r="G35" s="301">
        <f>'[1]MFR E-6'!$AE$17</f>
        <v>212501.14080236614</v>
      </c>
      <c r="H35" s="301">
        <f>'[1]MFR E-6'!$AF$17</f>
        <v>18509.178856753912</v>
      </c>
      <c r="I35" s="301">
        <f>'[1]MFR E-6'!$AG$17</f>
        <v>478.09110347843773</v>
      </c>
      <c r="J35" s="301">
        <f>'[1]MFR E-6'!$AH$17</f>
        <v>45463.432000444969</v>
      </c>
      <c r="K35" s="301">
        <f>'[1]MFR E-6'!$AR$17</f>
        <v>165.4016085715308</v>
      </c>
      <c r="L35" s="301">
        <f>'[1]MFR E-6'!$AQ$17</f>
        <v>2499.0183613510599</v>
      </c>
      <c r="M35" s="301">
        <f>'[1]MFR E-6'!$AJ$17</f>
        <v>1217.0710941162718</v>
      </c>
      <c r="N35" s="301">
        <f>'[1]MFR E-6'!$AK$17</f>
        <v>0</v>
      </c>
      <c r="O35" s="301">
        <f>'[1]MFR E-6'!$AL$17</f>
        <v>6936.7889099135682</v>
      </c>
      <c r="P35" s="302">
        <f t="shared" si="1"/>
        <v>0</v>
      </c>
      <c r="Q35" s="301">
        <f>'[1]MFR E-6'!$H$17</f>
        <v>304362.27610203653</v>
      </c>
      <c r="R35" s="301">
        <f>'[1]MFR E-6'!$I$17</f>
        <v>233446.55006311747</v>
      </c>
      <c r="S35" s="301">
        <f>'[1]MFR E-6'!$J$17</f>
        <v>19380.93511756006</v>
      </c>
      <c r="T35" s="301">
        <f>'[1]MFR E-6'!$K$17</f>
        <v>393.03665787408693</v>
      </c>
      <c r="U35" s="301">
        <f>'[1]MFR E-6'!$L$17</f>
        <v>43219.939418257651</v>
      </c>
      <c r="V35" s="301">
        <f>'[1]MFR E-6'!$V$17</f>
        <v>0</v>
      </c>
      <c r="W35" s="301">
        <f>'[1]MFR E-6'!$U$17</f>
        <v>1318.4735694421563</v>
      </c>
      <c r="X35" s="301">
        <f>'[1]MFR E-6'!$N$17</f>
        <v>1315.3418032439561</v>
      </c>
      <c r="Y35" s="301">
        <f>'[1]MFR E-6'!$O$17</f>
        <v>0</v>
      </c>
      <c r="Z35" s="301">
        <f>'[1]MFR E-6'!$P$17</f>
        <v>5287.9994725412544</v>
      </c>
      <c r="AA35" s="302">
        <f t="shared" si="2"/>
        <v>0</v>
      </c>
      <c r="AB35" s="290"/>
      <c r="AC35" s="302">
        <f t="shared" si="0"/>
        <v>16592.153365040722</v>
      </c>
      <c r="AD35" s="302">
        <f t="shared" si="0"/>
        <v>20945.40926075133</v>
      </c>
      <c r="AE35" s="302">
        <f t="shared" si="0"/>
        <v>871.75626080614893</v>
      </c>
      <c r="AF35" s="302">
        <f t="shared" si="0"/>
        <v>-85.054445604350803</v>
      </c>
      <c r="AG35" s="302">
        <f t="shared" si="0"/>
        <v>-2243.4925821873185</v>
      </c>
      <c r="AH35" s="302">
        <f t="shared" si="0"/>
        <v>-165.4016085715308</v>
      </c>
      <c r="AI35" s="302">
        <f t="shared" si="0"/>
        <v>-1180.5447919089036</v>
      </c>
      <c r="AJ35" s="302">
        <f t="shared" si="0"/>
        <v>98.270709127684313</v>
      </c>
      <c r="AK35" s="302">
        <f t="shared" si="0"/>
        <v>0</v>
      </c>
      <c r="AL35" s="302">
        <f t="shared" si="0"/>
        <v>-1648.7894373723138</v>
      </c>
      <c r="AM35" s="302">
        <f t="shared" si="0"/>
        <v>0</v>
      </c>
    </row>
    <row r="36" spans="4:39" x14ac:dyDescent="0.3">
      <c r="D36" s="89" t="s">
        <v>286</v>
      </c>
      <c r="F36" s="301">
        <f>'[1]MFR E-6'!$AD$18</f>
        <v>0</v>
      </c>
      <c r="G36" s="301">
        <f>'[1]MFR E-6'!$AE$18</f>
        <v>0</v>
      </c>
      <c r="H36" s="301">
        <f>'[1]MFR E-6'!$AF$18</f>
        <v>0</v>
      </c>
      <c r="I36" s="301">
        <f>'[1]MFR E-6'!$AG$18</f>
        <v>0</v>
      </c>
      <c r="J36" s="301">
        <f>'[1]MFR E-6'!$AH$18</f>
        <v>0</v>
      </c>
      <c r="K36" s="301">
        <f>'[1]MFR E-6'!$AR$18</f>
        <v>0</v>
      </c>
      <c r="L36" s="301">
        <f>'[1]MFR E-6'!$AQ$18</f>
        <v>0</v>
      </c>
      <c r="M36" s="301">
        <f>'[1]MFR E-6'!$AJ$18</f>
        <v>0</v>
      </c>
      <c r="N36" s="301">
        <f>'[1]MFR E-6'!$AK$18</f>
        <v>0</v>
      </c>
      <c r="O36" s="301">
        <f>'[1]MFR E-6'!$AL$18</f>
        <v>0</v>
      </c>
      <c r="P36" s="302">
        <f t="shared" si="1"/>
        <v>0</v>
      </c>
      <c r="Q36" s="301">
        <f>'[1]MFR E-6'!$H$18</f>
        <v>0</v>
      </c>
      <c r="R36" s="301">
        <f>'[1]MFR E-6'!$I$18</f>
        <v>0</v>
      </c>
      <c r="S36" s="301">
        <f>'[1]MFR E-6'!$J$18</f>
        <v>0</v>
      </c>
      <c r="T36" s="301">
        <f>'[1]MFR E-6'!$K$18</f>
        <v>0</v>
      </c>
      <c r="U36" s="301">
        <f>'[1]MFR E-6'!$L$18</f>
        <v>0</v>
      </c>
      <c r="V36" s="301">
        <f>'[1]MFR E-6'!$V$18</f>
        <v>0</v>
      </c>
      <c r="W36" s="301">
        <f>'[1]MFR E-6'!$U$18</f>
        <v>0</v>
      </c>
      <c r="X36" s="301">
        <f>'[1]MFR E-6'!$N$18</f>
        <v>0</v>
      </c>
      <c r="Y36" s="301">
        <f>'[1]MFR E-6'!$O$18</f>
        <v>0</v>
      </c>
      <c r="Z36" s="301">
        <f>'[1]MFR E-6'!$P$18</f>
        <v>0</v>
      </c>
      <c r="AA36" s="302">
        <f t="shared" si="2"/>
        <v>0</v>
      </c>
      <c r="AB36" s="290"/>
      <c r="AC36" s="302">
        <f t="shared" si="0"/>
        <v>0</v>
      </c>
      <c r="AD36" s="302">
        <f t="shared" si="0"/>
        <v>0</v>
      </c>
      <c r="AE36" s="302">
        <f t="shared" si="0"/>
        <v>0</v>
      </c>
      <c r="AF36" s="302">
        <f t="shared" si="0"/>
        <v>0</v>
      </c>
      <c r="AG36" s="302">
        <f t="shared" si="0"/>
        <v>0</v>
      </c>
      <c r="AH36" s="302">
        <f t="shared" si="0"/>
        <v>0</v>
      </c>
      <c r="AI36" s="302">
        <f t="shared" si="0"/>
        <v>0</v>
      </c>
      <c r="AJ36" s="302">
        <f t="shared" si="0"/>
        <v>0</v>
      </c>
      <c r="AK36" s="302">
        <f t="shared" si="0"/>
        <v>0</v>
      </c>
      <c r="AL36" s="302">
        <f t="shared" si="0"/>
        <v>0</v>
      </c>
      <c r="AM36" s="302">
        <f t="shared" si="0"/>
        <v>0</v>
      </c>
    </row>
    <row r="37" spans="4:39" x14ac:dyDescent="0.3">
      <c r="D37" s="89" t="s">
        <v>70</v>
      </c>
      <c r="F37" s="301">
        <f>'[1]MFR E-6'!$AD$19</f>
        <v>59827.400936445505</v>
      </c>
      <c r="G37" s="301">
        <f>'[1]MFR E-6'!$AE$19</f>
        <v>48709.572613576573</v>
      </c>
      <c r="H37" s="301">
        <f>'[1]MFR E-6'!$AF$19</f>
        <v>3915.3215833472432</v>
      </c>
      <c r="I37" s="301">
        <f>'[1]MFR E-6'!$AG$19</f>
        <v>361.03242744877957</v>
      </c>
      <c r="J37" s="301">
        <f>'[1]MFR E-6'!$AH$19</f>
        <v>4925.4890353211795</v>
      </c>
      <c r="K37" s="301">
        <f>'[1]MFR E-6'!$AR$19</f>
        <v>49.188495397979146</v>
      </c>
      <c r="L37" s="301">
        <f>'[1]MFR E-6'!$AQ$19</f>
        <v>451.73955917207002</v>
      </c>
      <c r="M37" s="301">
        <f>'[1]MFR E-6'!$AJ$19</f>
        <v>1415.0572221816876</v>
      </c>
      <c r="N37" s="301">
        <f>'[1]MFR E-6'!$AK$19</f>
        <v>0</v>
      </c>
      <c r="O37" s="301">
        <f>'[1]MFR E-6'!$AL$19</f>
        <v>0</v>
      </c>
      <c r="P37" s="302">
        <f t="shared" si="1"/>
        <v>0</v>
      </c>
      <c r="Q37" s="301">
        <f>'[1]MFR E-6'!$H$19</f>
        <v>57215.055061972635</v>
      </c>
      <c r="R37" s="301">
        <f>'[1]MFR E-6'!$I$19</f>
        <v>50024.200206346577</v>
      </c>
      <c r="S37" s="301">
        <f>'[1]MFR E-6'!$J$19</f>
        <v>3635.4591304450196</v>
      </c>
      <c r="T37" s="301">
        <f>'[1]MFR E-6'!$K$19</f>
        <v>410.05516992449202</v>
      </c>
      <c r="U37" s="301">
        <f>'[1]MFR E-6'!$L$19</f>
        <v>1341.6361948876925</v>
      </c>
      <c r="V37" s="301">
        <f>'[1]MFR E-6'!$V$19</f>
        <v>1.538703983057218E-2</v>
      </c>
      <c r="W37" s="301">
        <f>'[1]MFR E-6'!$U$19</f>
        <v>1.8581815699852788</v>
      </c>
      <c r="X37" s="301">
        <f>'[1]MFR E-6'!$N$19</f>
        <v>1801.8307917590294</v>
      </c>
      <c r="Y37" s="301">
        <f>'[1]MFR E-6'!$O$19</f>
        <v>0</v>
      </c>
      <c r="Z37" s="301">
        <f>'[1]MFR E-6'!$P$19</f>
        <v>0</v>
      </c>
      <c r="AA37" s="302">
        <f t="shared" si="2"/>
        <v>0</v>
      </c>
      <c r="AB37" s="290"/>
      <c r="AC37" s="302">
        <f t="shared" si="0"/>
        <v>-2612.3458744728705</v>
      </c>
      <c r="AD37" s="302">
        <f t="shared" si="0"/>
        <v>1314.6275927700044</v>
      </c>
      <c r="AE37" s="302">
        <f t="shared" si="0"/>
        <v>-279.86245290222359</v>
      </c>
      <c r="AF37" s="302">
        <f t="shared" si="0"/>
        <v>49.022742475712448</v>
      </c>
      <c r="AG37" s="302">
        <f t="shared" si="0"/>
        <v>-3583.852840433487</v>
      </c>
      <c r="AH37" s="302">
        <f t="shared" si="0"/>
        <v>-49.173108358148575</v>
      </c>
      <c r="AI37" s="302">
        <f t="shared" si="0"/>
        <v>-449.88137760208474</v>
      </c>
      <c r="AJ37" s="302">
        <f t="shared" si="0"/>
        <v>386.77356957734173</v>
      </c>
      <c r="AK37" s="302">
        <f t="shared" si="0"/>
        <v>0</v>
      </c>
      <c r="AL37" s="302">
        <f t="shared" si="0"/>
        <v>0</v>
      </c>
      <c r="AM37" s="302">
        <f t="shared" si="0"/>
        <v>0</v>
      </c>
    </row>
    <row r="38" spans="4:39" x14ac:dyDescent="0.3">
      <c r="D38" s="89" t="s">
        <v>71</v>
      </c>
      <c r="F38" s="301">
        <f>'[1]MFR E-6'!$AD$20</f>
        <v>88074.899637785435</v>
      </c>
      <c r="G38" s="301">
        <f>'[1]MFR E-6'!$AE$20</f>
        <v>68513.31285124</v>
      </c>
      <c r="H38" s="301">
        <f>'[1]MFR E-6'!$AF$20</f>
        <v>7007.9663319347555</v>
      </c>
      <c r="I38" s="301">
        <f>'[1]MFR E-6'!$AG$20</f>
        <v>546.07129651212426</v>
      </c>
      <c r="J38" s="301">
        <f>'[1]MFR E-6'!$AH$20</f>
        <v>8968.7624025799742</v>
      </c>
      <c r="K38" s="301">
        <f>'[1]MFR E-6'!$AR$20</f>
        <v>69.088389279339751</v>
      </c>
      <c r="L38" s="301">
        <f>'[1]MFR E-6'!$AQ$20</f>
        <v>607.74057552284364</v>
      </c>
      <c r="M38" s="301">
        <f>'[1]MFR E-6'!$AJ$20</f>
        <v>2361.9577907164171</v>
      </c>
      <c r="N38" s="301">
        <f>'[1]MFR E-6'!$AK$20</f>
        <v>0</v>
      </c>
      <c r="O38" s="301">
        <f>'[1]MFR E-6'!$AL$20</f>
        <v>0</v>
      </c>
      <c r="P38" s="302">
        <f t="shared" si="1"/>
        <v>0</v>
      </c>
      <c r="Q38" s="301">
        <f>'[1]MFR E-6'!$H$20</f>
        <v>93717.829795375626</v>
      </c>
      <c r="R38" s="301">
        <f>'[1]MFR E-6'!$I$20</f>
        <v>75664.981195521817</v>
      </c>
      <c r="S38" s="301">
        <f>'[1]MFR E-6'!$J$20</f>
        <v>7684.3594614241811</v>
      </c>
      <c r="T38" s="301">
        <f>'[1]MFR E-6'!$K$20</f>
        <v>653.63194777883268</v>
      </c>
      <c r="U38" s="301">
        <f>'[1]MFR E-6'!$L$20</f>
        <v>6451.573246722829</v>
      </c>
      <c r="V38" s="301">
        <f>'[1]MFR E-6'!$V$20</f>
        <v>22.836090949193231</v>
      </c>
      <c r="W38" s="301">
        <f>'[1]MFR E-6'!$U$20</f>
        <v>175.69971120953639</v>
      </c>
      <c r="X38" s="301">
        <f>'[1]MFR E-6'!$N$20</f>
        <v>3064.7481417692702</v>
      </c>
      <c r="Y38" s="301">
        <f>'[1]MFR E-6'!$O$20</f>
        <v>0</v>
      </c>
      <c r="Z38" s="301">
        <f>'[1]MFR E-6'!$P$20</f>
        <v>0</v>
      </c>
      <c r="AA38" s="302">
        <f t="shared" si="2"/>
        <v>0</v>
      </c>
      <c r="AB38" s="290"/>
      <c r="AC38" s="302">
        <f t="shared" si="0"/>
        <v>5642.9301575901918</v>
      </c>
      <c r="AD38" s="302">
        <f t="shared" si="0"/>
        <v>7151.6683442818176</v>
      </c>
      <c r="AE38" s="302">
        <f t="shared" si="0"/>
        <v>676.39312948942552</v>
      </c>
      <c r="AF38" s="302">
        <f t="shared" si="0"/>
        <v>107.56065126670842</v>
      </c>
      <c r="AG38" s="302">
        <f t="shared" si="0"/>
        <v>-2517.1891558571451</v>
      </c>
      <c r="AH38" s="302">
        <f t="shared" si="0"/>
        <v>-46.252298330146516</v>
      </c>
      <c r="AI38" s="302">
        <f t="shared" si="0"/>
        <v>-432.04086431330722</v>
      </c>
      <c r="AJ38" s="302">
        <f t="shared" si="0"/>
        <v>702.79035105285311</v>
      </c>
      <c r="AK38" s="302">
        <f t="shared" si="0"/>
        <v>0</v>
      </c>
      <c r="AL38" s="302">
        <f t="shared" si="0"/>
        <v>0</v>
      </c>
      <c r="AM38" s="302">
        <f t="shared" si="0"/>
        <v>0</v>
      </c>
    </row>
    <row r="39" spans="4:39" x14ac:dyDescent="0.3">
      <c r="D39" s="89" t="s">
        <v>72</v>
      </c>
      <c r="F39" s="301">
        <f>'[1]MFR E-6'!$AD$21</f>
        <v>484.15416760892896</v>
      </c>
      <c r="G39" s="301">
        <f>'[1]MFR E-6'!$AE$21</f>
        <v>65.447798688127847</v>
      </c>
      <c r="H39" s="301">
        <f>'[1]MFR E-6'!$AF$21</f>
        <v>6.9183744979433355</v>
      </c>
      <c r="I39" s="301">
        <f>'[1]MFR E-6'!$AG$21</f>
        <v>0.316214181571422</v>
      </c>
      <c r="J39" s="301">
        <f>'[1]MFR E-6'!$AH$21</f>
        <v>22.598544816491842</v>
      </c>
      <c r="K39" s="301">
        <f>'[1]MFR E-6'!$AR$21</f>
        <v>0.28322115874232284</v>
      </c>
      <c r="L39" s="301">
        <f>'[1]MFR E-6'!$AQ$21</f>
        <v>388.18744229923732</v>
      </c>
      <c r="M39" s="301">
        <f>'[1]MFR E-6'!$AJ$21</f>
        <v>0.40257196681488239</v>
      </c>
      <c r="N39" s="301">
        <f>'[1]MFR E-6'!$AK$21</f>
        <v>0</v>
      </c>
      <c r="O39" s="301">
        <f>'[1]MFR E-6'!$AL$21</f>
        <v>0</v>
      </c>
      <c r="P39" s="302">
        <f t="shared" si="1"/>
        <v>0</v>
      </c>
      <c r="Q39" s="301">
        <f>'[1]MFR E-6'!$H$21</f>
        <v>516.50092370741288</v>
      </c>
      <c r="R39" s="301">
        <f>'[1]MFR E-6'!$I$21</f>
        <v>0</v>
      </c>
      <c r="S39" s="301">
        <f>'[1]MFR E-6'!$J$21</f>
        <v>0</v>
      </c>
      <c r="T39" s="301">
        <f>'[1]MFR E-6'!$K$21</f>
        <v>0</v>
      </c>
      <c r="U39" s="301">
        <f>'[1]MFR E-6'!$L$21</f>
        <v>0</v>
      </c>
      <c r="V39" s="301">
        <f>'[1]MFR E-6'!$V$21</f>
        <v>0</v>
      </c>
      <c r="W39" s="301">
        <f>'[1]MFR E-6'!$U$21</f>
        <v>516.50092370741299</v>
      </c>
      <c r="X39" s="301">
        <f>'[1]MFR E-6'!$N$21</f>
        <v>0</v>
      </c>
      <c r="Y39" s="301">
        <f>'[1]MFR E-6'!$O$21</f>
        <v>0</v>
      </c>
      <c r="Z39" s="301">
        <f>'[1]MFR E-6'!$P$21</f>
        <v>0</v>
      </c>
      <c r="AA39" s="302">
        <f t="shared" si="2"/>
        <v>0</v>
      </c>
      <c r="AB39" s="290"/>
      <c r="AC39" s="302">
        <f t="shared" si="0"/>
        <v>32.346756098483922</v>
      </c>
      <c r="AD39" s="302">
        <f t="shared" si="0"/>
        <v>-65.447798688127847</v>
      </c>
      <c r="AE39" s="302">
        <f t="shared" si="0"/>
        <v>-6.9183744979433355</v>
      </c>
      <c r="AF39" s="302">
        <f t="shared" si="0"/>
        <v>-0.316214181571422</v>
      </c>
      <c r="AG39" s="302">
        <f t="shared" si="0"/>
        <v>-22.598544816491842</v>
      </c>
      <c r="AH39" s="302">
        <f t="shared" si="0"/>
        <v>-0.28322115874232284</v>
      </c>
      <c r="AI39" s="302">
        <f t="shared" si="0"/>
        <v>128.31348140817568</v>
      </c>
      <c r="AJ39" s="302">
        <f t="shared" si="0"/>
        <v>-0.40257196681488239</v>
      </c>
      <c r="AK39" s="302">
        <f t="shared" si="0"/>
        <v>0</v>
      </c>
      <c r="AL39" s="302">
        <f t="shared" si="0"/>
        <v>0</v>
      </c>
      <c r="AM39" s="302">
        <f t="shared" si="0"/>
        <v>0</v>
      </c>
    </row>
    <row r="40" spans="4:39" x14ac:dyDescent="0.3">
      <c r="D40" s="89" t="s">
        <v>73</v>
      </c>
      <c r="F40" s="301">
        <f>'[1]MFR E-6'!$AD$22</f>
        <v>110880.30115566259</v>
      </c>
      <c r="G40" s="301">
        <f>'[1]MFR E-6'!$AE$22</f>
        <v>0</v>
      </c>
      <c r="H40" s="301">
        <f>'[1]MFR E-6'!$AF$22</f>
        <v>0</v>
      </c>
      <c r="I40" s="301">
        <f>'[1]MFR E-6'!$AG$22</f>
        <v>0</v>
      </c>
      <c r="J40" s="301">
        <f>'[1]MFR E-6'!$AH$22</f>
        <v>0</v>
      </c>
      <c r="K40" s="301">
        <f>'[1]MFR E-6'!$AR$22</f>
        <v>0</v>
      </c>
      <c r="L40" s="301">
        <f>'[1]MFR E-6'!$AQ$22</f>
        <v>0</v>
      </c>
      <c r="M40" s="301">
        <f>'[1]MFR E-6'!$AJ$22</f>
        <v>0</v>
      </c>
      <c r="N40" s="301">
        <f>'[1]MFR E-6'!$AK$22</f>
        <v>110880.30115566259</v>
      </c>
      <c r="O40" s="301">
        <f>'[1]MFR E-6'!$AL$22</f>
        <v>0</v>
      </c>
      <c r="P40" s="302">
        <f t="shared" si="1"/>
        <v>0</v>
      </c>
      <c r="Q40" s="301">
        <f>'[1]MFR E-6'!$H$22</f>
        <v>118476.67672172758</v>
      </c>
      <c r="R40" s="301">
        <f>'[1]MFR E-6'!$I$22</f>
        <v>0</v>
      </c>
      <c r="S40" s="301">
        <f>'[1]MFR E-6'!$J$22</f>
        <v>0</v>
      </c>
      <c r="T40" s="301">
        <f>'[1]MFR E-6'!$K$22</f>
        <v>0</v>
      </c>
      <c r="U40" s="301">
        <f>'[1]MFR E-6'!$L$22</f>
        <v>0</v>
      </c>
      <c r="V40" s="301">
        <f>'[1]MFR E-6'!$V$22</f>
        <v>0</v>
      </c>
      <c r="W40" s="301">
        <f>'[1]MFR E-6'!$U$22</f>
        <v>0</v>
      </c>
      <c r="X40" s="301">
        <f>'[1]MFR E-6'!$N$22</f>
        <v>0</v>
      </c>
      <c r="Y40" s="301">
        <f>'[1]MFR E-6'!$O$22</f>
        <v>118476.67672172758</v>
      </c>
      <c r="Z40" s="301">
        <f>'[1]MFR E-6'!$P$22</f>
        <v>0</v>
      </c>
      <c r="AA40" s="302">
        <f t="shared" si="2"/>
        <v>0</v>
      </c>
      <c r="AB40" s="290"/>
      <c r="AC40" s="302">
        <f t="shared" si="0"/>
        <v>7596.3755660649913</v>
      </c>
      <c r="AD40" s="302">
        <f t="shared" si="0"/>
        <v>0</v>
      </c>
      <c r="AE40" s="302">
        <f t="shared" si="0"/>
        <v>0</v>
      </c>
      <c r="AF40" s="302">
        <f t="shared" si="0"/>
        <v>0</v>
      </c>
      <c r="AG40" s="302">
        <f t="shared" si="0"/>
        <v>0</v>
      </c>
      <c r="AH40" s="302">
        <f t="shared" si="0"/>
        <v>0</v>
      </c>
      <c r="AI40" s="302">
        <f t="shared" si="0"/>
        <v>0</v>
      </c>
      <c r="AJ40" s="302">
        <f t="shared" si="0"/>
        <v>0</v>
      </c>
      <c r="AK40" s="302">
        <f t="shared" si="0"/>
        <v>7596.3755660649913</v>
      </c>
      <c r="AL40" s="302">
        <f t="shared" si="0"/>
        <v>0</v>
      </c>
      <c r="AM40" s="302">
        <f t="shared" si="0"/>
        <v>0</v>
      </c>
    </row>
    <row r="41" spans="4:39" x14ac:dyDescent="0.3">
      <c r="D41" s="89" t="s">
        <v>75</v>
      </c>
      <c r="F41" s="301">
        <f>'[1]MFR E-6'!$AD$23</f>
        <v>207266.87159957644</v>
      </c>
      <c r="G41" s="301">
        <f>'[1]MFR E-6'!$AE$23</f>
        <v>171951.77214801993</v>
      </c>
      <c r="H41" s="301">
        <f>'[1]MFR E-6'!$AF$23</f>
        <v>13470.482321294427</v>
      </c>
      <c r="I41" s="301">
        <f>'[1]MFR E-6'!$AG$23</f>
        <v>1311.4992654272537</v>
      </c>
      <c r="J41" s="301">
        <f>'[1]MFR E-6'!$AH$23</f>
        <v>13917.174497404745</v>
      </c>
      <c r="K41" s="301">
        <f>'[1]MFR E-6'!$AR$23</f>
        <v>126.56049243950314</v>
      </c>
      <c r="L41" s="301">
        <f>'[1]MFR E-6'!$AQ$23</f>
        <v>1165.6419055361782</v>
      </c>
      <c r="M41" s="301">
        <f>'[1]MFR E-6'!$AJ$23</f>
        <v>5323.7409694543521</v>
      </c>
      <c r="N41" s="301">
        <f>'[1]MFR E-6'!$AK$23</f>
        <v>0</v>
      </c>
      <c r="O41" s="301">
        <f>'[1]MFR E-6'!$AL$23</f>
        <v>0</v>
      </c>
      <c r="P41" s="302">
        <f t="shared" si="1"/>
        <v>0</v>
      </c>
      <c r="Q41" s="301">
        <f>'[1]MFR E-6'!$H$23</f>
        <v>221578.64981642389</v>
      </c>
      <c r="R41" s="301">
        <f>'[1]MFR E-6'!$I$23</f>
        <v>192987.15160306654</v>
      </c>
      <c r="S41" s="301">
        <f>'[1]MFR E-6'!$J$23</f>
        <v>13952.871638235087</v>
      </c>
      <c r="T41" s="301">
        <f>'[1]MFR E-6'!$K$23</f>
        <v>1582.8455255273611</v>
      </c>
      <c r="U41" s="301">
        <f>'[1]MFR E-6'!$L$23</f>
        <v>5936.0162360224122</v>
      </c>
      <c r="V41" s="301">
        <f>'[1]MFR E-6'!$V$23</f>
        <v>9.5187719609673511</v>
      </c>
      <c r="W41" s="301">
        <f>'[1]MFR E-6'!$U$23</f>
        <v>171.40988181533254</v>
      </c>
      <c r="X41" s="301">
        <f>'[1]MFR E-6'!$N$23</f>
        <v>6938.8361725787954</v>
      </c>
      <c r="Y41" s="301">
        <f>'[1]MFR E-6'!$O$23</f>
        <v>0</v>
      </c>
      <c r="Z41" s="301">
        <f>'[1]MFR E-6'!$P$23</f>
        <v>0</v>
      </c>
      <c r="AA41" s="302">
        <f t="shared" si="2"/>
        <v>-1.278260606341064E-5</v>
      </c>
      <c r="AB41" s="290"/>
      <c r="AC41" s="302">
        <f t="shared" si="0"/>
        <v>14311.778216847451</v>
      </c>
      <c r="AD41" s="302">
        <f t="shared" si="0"/>
        <v>21035.379455046612</v>
      </c>
      <c r="AE41" s="302">
        <f t="shared" si="0"/>
        <v>482.38931694066014</v>
      </c>
      <c r="AF41" s="302">
        <f t="shared" si="0"/>
        <v>271.34626010010743</v>
      </c>
      <c r="AG41" s="302">
        <f t="shared" si="0"/>
        <v>-7981.158261382333</v>
      </c>
      <c r="AH41" s="302">
        <f t="shared" si="0"/>
        <v>-117.04172047853578</v>
      </c>
      <c r="AI41" s="302">
        <f t="shared" si="0"/>
        <v>-994.23202372084575</v>
      </c>
      <c r="AJ41" s="302">
        <f t="shared" si="0"/>
        <v>1615.0952031244433</v>
      </c>
      <c r="AK41" s="302">
        <f t="shared" si="0"/>
        <v>0</v>
      </c>
      <c r="AL41" s="302">
        <f t="shared" si="0"/>
        <v>0</v>
      </c>
      <c r="AM41" s="302">
        <f t="shared" si="0"/>
        <v>-1.278260606341064E-5</v>
      </c>
    </row>
    <row r="42" spans="4:39" ht="15" thickBot="1" x14ac:dyDescent="0.35">
      <c r="D42" s="278" t="s">
        <v>77</v>
      </c>
      <c r="F42" s="303">
        <f>+'[1]1-Summary (present rev)'!$H$43</f>
        <v>3581136.9907787987</v>
      </c>
      <c r="G42" s="303">
        <f>+'[1]1-Summary (present rev)'!$I$43</f>
        <v>2267052.6804331047</v>
      </c>
      <c r="H42" s="303">
        <f>+'[1]1-Summary (present rev)'!$J$43</f>
        <v>206877.40184209036</v>
      </c>
      <c r="I42" s="303">
        <f>+'[1]1-Summary (present rev)'!$K$43</f>
        <v>12483.211638901663</v>
      </c>
      <c r="J42" s="303">
        <f>+'[1]1-Summary (present rev)'!$L$43</f>
        <v>832519.31748838176</v>
      </c>
      <c r="K42" s="303">
        <f>+'[1]1-Summary (present rev)'!$M$43</f>
        <v>10246.697640124874</v>
      </c>
      <c r="L42" s="303">
        <f>+'[1]1-Summary (present rev)'!$N$43</f>
        <v>112111.81630934996</v>
      </c>
      <c r="M42" s="303">
        <f>+'[1]1-Summary (present rev)'!$O$43</f>
        <v>22028.778177426819</v>
      </c>
      <c r="N42" s="303">
        <f>+'[1]1-Summary (present rev)'!$P$43</f>
        <v>110880.30115566259</v>
      </c>
      <c r="O42" s="303">
        <f>+'[1]1-Summary (present rev)'!$Q$43</f>
        <v>6936.7889099135682</v>
      </c>
      <c r="P42" s="302">
        <f t="shared" si="1"/>
        <v>-2.8161574155092239E-3</v>
      </c>
      <c r="Q42" s="303">
        <f>'[1]MFR E-6'!$H$25</f>
        <v>3791019.2183887558</v>
      </c>
      <c r="R42" s="303">
        <f>'[1]MFR E-6'!$I$25</f>
        <v>2393435.1156903002</v>
      </c>
      <c r="S42" s="303">
        <f>'[1]MFR E-6'!$J$25</f>
        <v>209362.24636333535</v>
      </c>
      <c r="T42" s="303">
        <f>'[1]MFR E-6'!$K$25</f>
        <v>13587.673960353273</v>
      </c>
      <c r="U42" s="303">
        <f>'[1]MFR E-6'!$L$25</f>
        <v>890383.22636561247</v>
      </c>
      <c r="V42" s="303">
        <f>'[1]MFR E-6'!$V$25</f>
        <v>10913.675001226917</v>
      </c>
      <c r="W42" s="303">
        <f>'[1]MFR E-6'!$U$25</f>
        <v>123931.73045217452</v>
      </c>
      <c r="X42" s="303">
        <f>'[1]MFR E-6'!$N$25</f>
        <v>25640.874374266841</v>
      </c>
      <c r="Y42" s="303">
        <f>'[1]MFR E-6'!$O$25</f>
        <v>118476.67672172758</v>
      </c>
      <c r="Z42" s="303">
        <f>'[1]MFR E-6'!$P$25</f>
        <v>5287.9994725412544</v>
      </c>
      <c r="AA42" s="302">
        <f>+Q42-SUM(R42:Z42)</f>
        <v>-1.2781936675310135E-5</v>
      </c>
      <c r="AB42" s="290"/>
      <c r="AC42" s="304">
        <f>SUM(AC30:AC41)</f>
        <v>209882.22419455787</v>
      </c>
      <c r="AD42" s="304">
        <f t="shared" ref="AD42:AM42" si="3">SUM(AD30:AD41)</f>
        <v>126382.42391701178</v>
      </c>
      <c r="AE42" s="304">
        <f t="shared" si="3"/>
        <v>2484.8445212449578</v>
      </c>
      <c r="AF42" s="304">
        <f t="shared" si="3"/>
        <v>1104.4623214516093</v>
      </c>
      <c r="AG42" s="304">
        <f t="shared" si="3"/>
        <v>57863.908877230751</v>
      </c>
      <c r="AH42" s="304">
        <f t="shared" si="3"/>
        <v>666.97736110204357</v>
      </c>
      <c r="AI42" s="304">
        <f t="shared" si="3"/>
        <v>11819.91414282456</v>
      </c>
      <c r="AJ42" s="304">
        <f t="shared" si="3"/>
        <v>3612.0961968400247</v>
      </c>
      <c r="AK42" s="304">
        <f t="shared" si="3"/>
        <v>7596.3755660649913</v>
      </c>
      <c r="AL42" s="304">
        <f t="shared" si="3"/>
        <v>-1648.7894373723138</v>
      </c>
      <c r="AM42" s="304">
        <f t="shared" si="3"/>
        <v>1.0728159657446668E-2</v>
      </c>
    </row>
    <row r="43" spans="4:39" ht="15" thickTop="1" x14ac:dyDescent="0.3">
      <c r="F43" s="305">
        <f t="shared" ref="F43:N43" si="4">SUM(F30:F41)-F42</f>
        <v>3.4153987653553486E-3</v>
      </c>
      <c r="G43" s="305">
        <f t="shared" si="4"/>
        <v>1.1340184137225151E-2</v>
      </c>
      <c r="H43" s="305">
        <f t="shared" si="4"/>
        <v>0</v>
      </c>
      <c r="I43" s="305">
        <f t="shared" si="4"/>
        <v>0</v>
      </c>
      <c r="J43" s="305">
        <f t="shared" si="4"/>
        <v>0</v>
      </c>
      <c r="K43" s="305">
        <f t="shared" si="4"/>
        <v>0</v>
      </c>
      <c r="L43" s="305">
        <f t="shared" si="4"/>
        <v>0</v>
      </c>
      <c r="M43" s="305">
        <f t="shared" si="4"/>
        <v>0</v>
      </c>
      <c r="N43" s="305">
        <f t="shared" si="4"/>
        <v>0</v>
      </c>
      <c r="O43" s="305"/>
      <c r="Q43" s="305">
        <f t="shared" ref="Q43:Y43" si="5">SUM(Q30:Q41)-Q42</f>
        <v>0</v>
      </c>
      <c r="R43" s="305">
        <f t="shared" si="5"/>
        <v>0</v>
      </c>
      <c r="S43" s="305">
        <f t="shared" si="5"/>
        <v>0</v>
      </c>
      <c r="T43" s="305">
        <f t="shared" si="5"/>
        <v>0</v>
      </c>
      <c r="U43" s="305">
        <f t="shared" si="5"/>
        <v>0</v>
      </c>
      <c r="V43" s="305">
        <f t="shared" si="5"/>
        <v>0</v>
      </c>
      <c r="W43" s="305">
        <f t="shared" si="5"/>
        <v>0</v>
      </c>
      <c r="X43" s="305">
        <f t="shared" si="5"/>
        <v>0</v>
      </c>
      <c r="Y43" s="305">
        <f t="shared" si="5"/>
        <v>0</v>
      </c>
      <c r="Z43" s="305"/>
      <c r="AB43" s="290"/>
    </row>
    <row r="44" spans="4:39" ht="18" x14ac:dyDescent="0.3">
      <c r="D44" s="300"/>
      <c r="E44" s="300">
        <v>2026</v>
      </c>
      <c r="F44" s="292"/>
      <c r="G44" s="292"/>
      <c r="H44" s="292"/>
      <c r="I44" s="292"/>
      <c r="J44" s="292"/>
      <c r="K44" s="292"/>
      <c r="M44" s="292"/>
      <c r="N44" s="292"/>
      <c r="O44" s="292"/>
      <c r="Q44" s="292"/>
      <c r="R44" s="292"/>
      <c r="S44" s="292"/>
      <c r="T44" s="292"/>
      <c r="U44" s="292"/>
      <c r="V44" s="292"/>
      <c r="X44" s="292"/>
      <c r="Y44" s="292"/>
      <c r="AB44" s="290"/>
    </row>
    <row r="45" spans="4:39" x14ac:dyDescent="0.3">
      <c r="D45" s="89" t="s">
        <v>285</v>
      </c>
      <c r="F45" s="301">
        <f>'[2]MFR E-6'!$AD$12</f>
        <v>1307509.4541731784</v>
      </c>
      <c r="G45" s="301">
        <f>'[2]MFR E-6'!$AE$12</f>
        <v>785028.6875372309</v>
      </c>
      <c r="H45" s="301">
        <f>'[2]MFR E-6'!$AF$12</f>
        <v>71533.842237814606</v>
      </c>
      <c r="I45" s="301">
        <f>'[2]MFR E-6'!$AG$12</f>
        <v>5007.761209483273</v>
      </c>
      <c r="J45" s="301">
        <f>'[2]MFR E-6'!$AH$12</f>
        <v>377007.27601629426</v>
      </c>
      <c r="K45" s="301">
        <f>'[2]MFR E-6'!$AR$12</f>
        <v>4550.1329005226607</v>
      </c>
      <c r="L45" s="301">
        <f>'[2]MFR E-6'!$AQ$12</f>
        <v>61282.968117096898</v>
      </c>
      <c r="M45" s="301">
        <f>'[2]MFR E-6'!$AJ$12</f>
        <v>3098.797406390433</v>
      </c>
      <c r="N45" s="301">
        <f>'[2]MFR E-6'!$AK$12</f>
        <v>0</v>
      </c>
      <c r="O45" s="301">
        <f>'[2]MFR E-6'!$AL$12</f>
        <v>0</v>
      </c>
      <c r="P45" s="302">
        <f>+F45-SUM(G45:O45)</f>
        <v>-1.1251654708757997E-2</v>
      </c>
      <c r="Q45" s="301">
        <f>'[2]MFR E-6'!$H$12</f>
        <v>1355004.0426770928</v>
      </c>
      <c r="R45" s="301">
        <f>'[2]MFR E-6'!$I$12</f>
        <v>813544.42722332687</v>
      </c>
      <c r="S45" s="301">
        <f>'[2]MFR E-6'!$J$12</f>
        <v>74132.271174863752</v>
      </c>
      <c r="T45" s="301">
        <f>'[2]MFR E-6'!$K$12</f>
        <v>5189.6654834532656</v>
      </c>
      <c r="U45" s="301">
        <f>'[2]MFR E-6'!$L$12</f>
        <v>390701.86566551297</v>
      </c>
      <c r="V45" s="301">
        <f>'[2]MFR E-6'!$V$12</f>
        <v>4715.4140685162829</v>
      </c>
      <c r="W45" s="301">
        <f>'[2]MFR E-6'!$U$12</f>
        <v>63509.039480275373</v>
      </c>
      <c r="X45" s="301">
        <f>'[2]MFR E-6'!$N$12</f>
        <v>3211.3595811447103</v>
      </c>
      <c r="Y45" s="301">
        <f>'[2]MFR E-6'!$O$12</f>
        <v>0</v>
      </c>
      <c r="Z45" s="301">
        <f>'[2]MFR E-6'!$P$12</f>
        <v>0</v>
      </c>
      <c r="AA45" s="302">
        <f>+Q45-SUM(R45:Z45)</f>
        <v>0</v>
      </c>
      <c r="AB45" s="290"/>
      <c r="AC45" s="302">
        <f t="shared" ref="AC45:AM56" si="6">Q45-F45</f>
        <v>47494.58850391442</v>
      </c>
      <c r="AD45" s="302">
        <f t="shared" si="6"/>
        <v>28515.739686095971</v>
      </c>
      <c r="AE45" s="302">
        <f t="shared" si="6"/>
        <v>2598.428937049146</v>
      </c>
      <c r="AF45" s="302">
        <f t="shared" si="6"/>
        <v>181.90427396999257</v>
      </c>
      <c r="AG45" s="302">
        <f t="shared" si="6"/>
        <v>13694.589649218717</v>
      </c>
      <c r="AH45" s="302">
        <f t="shared" si="6"/>
        <v>165.28116799362215</v>
      </c>
      <c r="AI45" s="302">
        <f t="shared" si="6"/>
        <v>2226.0713631784747</v>
      </c>
      <c r="AJ45" s="302">
        <f t="shared" si="6"/>
        <v>112.56217475427729</v>
      </c>
      <c r="AK45" s="302">
        <f t="shared" si="6"/>
        <v>0</v>
      </c>
      <c r="AL45" s="302">
        <f t="shared" si="6"/>
        <v>0</v>
      </c>
      <c r="AM45" s="302">
        <f t="shared" si="6"/>
        <v>1.1251654708757997E-2</v>
      </c>
    </row>
    <row r="46" spans="4:39" x14ac:dyDescent="0.3">
      <c r="D46" s="89" t="s">
        <v>63</v>
      </c>
      <c r="F46" s="301">
        <f>'[2]MFR E-6'!$AD$13</f>
        <v>230681.35527400469</v>
      </c>
      <c r="G46" s="301">
        <f>'[2]MFR E-6'!$AE$13</f>
        <v>145722.91141300302</v>
      </c>
      <c r="H46" s="301">
        <f>'[2]MFR E-6'!$AF$13</f>
        <v>17672.57234670352</v>
      </c>
      <c r="I46" s="301">
        <f>'[2]MFR E-6'!$AG$13</f>
        <v>944.10199187998217</v>
      </c>
      <c r="J46" s="301">
        <f>'[2]MFR E-6'!$AH$13</f>
        <v>55695.168752239464</v>
      </c>
      <c r="K46" s="301">
        <f>'[2]MFR E-6'!$AR$13</f>
        <v>920.54546915468995</v>
      </c>
      <c r="L46" s="301">
        <f>'[2]MFR E-6'!$AQ$13</f>
        <v>7539.2795677966296</v>
      </c>
      <c r="M46" s="301">
        <f>'[2]MFR E-6'!$AJ$13</f>
        <v>2186.7751117902703</v>
      </c>
      <c r="N46" s="301">
        <f>'[2]MFR E-6'!$AK$13</f>
        <v>0</v>
      </c>
      <c r="O46" s="301">
        <f>'[2]MFR E-6'!$AL$13</f>
        <v>0</v>
      </c>
      <c r="P46" s="302">
        <f t="shared" ref="P46:P57" si="7">+F46-SUM(G46:O46)</f>
        <v>6.2143709510564804E-4</v>
      </c>
      <c r="Q46" s="301">
        <f>'[2]MFR E-6'!$H$13</f>
        <v>242346.76125039757</v>
      </c>
      <c r="R46" s="301">
        <f>'[2]MFR E-6'!$I$13</f>
        <v>127465.27103605788</v>
      </c>
      <c r="S46" s="301">
        <f>'[2]MFR E-6'!$J$13</f>
        <v>13509.150025889074</v>
      </c>
      <c r="T46" s="301">
        <f>'[2]MFR E-6'!$K$13</f>
        <v>1279.0746730945332</v>
      </c>
      <c r="U46" s="301">
        <f>'[2]MFR E-6'!$L$13</f>
        <v>81056.306317093185</v>
      </c>
      <c r="V46" s="301">
        <f>'[2]MFR E-6'!$V$13</f>
        <v>1258.2319137201061</v>
      </c>
      <c r="W46" s="301">
        <f>'[2]MFR E-6'!$U$13</f>
        <v>15733.298602095749</v>
      </c>
      <c r="X46" s="301">
        <f>'[2]MFR E-6'!$N$13</f>
        <v>2045.4286824470498</v>
      </c>
      <c r="Y46" s="301">
        <f>'[2]MFR E-6'!$O$13</f>
        <v>0</v>
      </c>
      <c r="Z46" s="301">
        <f>'[2]MFR E-6'!$P$13</f>
        <v>0</v>
      </c>
      <c r="AA46" s="302">
        <f t="shared" ref="AA46:AA56" si="8">+Q46-SUM(R46:Z46)</f>
        <v>0</v>
      </c>
      <c r="AB46" s="290"/>
      <c r="AC46" s="302">
        <f t="shared" si="6"/>
        <v>11665.405976392882</v>
      </c>
      <c r="AD46" s="302">
        <f t="shared" si="6"/>
        <v>-18257.640376945143</v>
      </c>
      <c r="AE46" s="302">
        <f t="shared" si="6"/>
        <v>-4163.4223208144467</v>
      </c>
      <c r="AF46" s="302">
        <f t="shared" si="6"/>
        <v>334.97268121455102</v>
      </c>
      <c r="AG46" s="302">
        <f t="shared" si="6"/>
        <v>25361.137564853721</v>
      </c>
      <c r="AH46" s="302">
        <f t="shared" si="6"/>
        <v>337.6864445654162</v>
      </c>
      <c r="AI46" s="302">
        <f t="shared" si="6"/>
        <v>8194.0190342991191</v>
      </c>
      <c r="AJ46" s="302">
        <f t="shared" si="6"/>
        <v>-141.34642934322051</v>
      </c>
      <c r="AK46" s="302">
        <f t="shared" si="6"/>
        <v>0</v>
      </c>
      <c r="AL46" s="302">
        <f t="shared" si="6"/>
        <v>0</v>
      </c>
      <c r="AM46" s="302">
        <f t="shared" si="6"/>
        <v>-6.2143709510564804E-4</v>
      </c>
    </row>
    <row r="47" spans="4:39" x14ac:dyDescent="0.3">
      <c r="D47" s="89" t="s">
        <v>64</v>
      </c>
      <c r="F47" s="301">
        <f>'[2]MFR E-6'!$AD$14</f>
        <v>522484.11529087223</v>
      </c>
      <c r="G47" s="301">
        <f>'[2]MFR E-6'!$AE$14</f>
        <v>330889.11589141208</v>
      </c>
      <c r="H47" s="301">
        <f>'[2]MFR E-6'!$AF$14</f>
        <v>30046.217791771116</v>
      </c>
      <c r="I47" s="301">
        <f>'[2]MFR E-6'!$AG$14</f>
        <v>1733.4196970663081</v>
      </c>
      <c r="J47" s="301">
        <f>'[2]MFR E-6'!$AH$14</f>
        <v>137905.60026078386</v>
      </c>
      <c r="K47" s="301">
        <f>'[2]MFR E-6'!$AR$14</f>
        <v>1514.5730924877923</v>
      </c>
      <c r="L47" s="301">
        <f>'[2]MFR E-6'!$AQ$14</f>
        <v>19820.810987462795</v>
      </c>
      <c r="M47" s="301">
        <f>'[2]MFR E-6'!$AJ$14</f>
        <v>574.37756988846775</v>
      </c>
      <c r="N47" s="301">
        <f>'[2]MFR E-6'!$AK$14</f>
        <v>0</v>
      </c>
      <c r="O47" s="301">
        <f>'[2]MFR E-6'!$AL$14</f>
        <v>0</v>
      </c>
      <c r="P47" s="302">
        <f t="shared" si="7"/>
        <v>0</v>
      </c>
      <c r="Q47" s="301">
        <f>'[2]MFR E-6'!$H$14</f>
        <v>558856.08974198322</v>
      </c>
      <c r="R47" s="301">
        <f>'[2]MFR E-6'!$I$14</f>
        <v>349405.27897563693</v>
      </c>
      <c r="S47" s="301">
        <f>'[2]MFR E-6'!$J$14</f>
        <v>30378.820732855209</v>
      </c>
      <c r="T47" s="301">
        <f>'[2]MFR E-6'!$K$14</f>
        <v>1870.9686773388441</v>
      </c>
      <c r="U47" s="301">
        <f>'[2]MFR E-6'!$L$14</f>
        <v>152547.81561177989</v>
      </c>
      <c r="V47" s="301">
        <f>'[2]MFR E-6'!$V$14</f>
        <v>1623.0089731132139</v>
      </c>
      <c r="W47" s="301">
        <f>'[2]MFR E-6'!$U$14</f>
        <v>22834.834580051196</v>
      </c>
      <c r="X47" s="301">
        <f>'[2]MFR E-6'!$N$14</f>
        <v>195.36219120807209</v>
      </c>
      <c r="Y47" s="301">
        <f>'[2]MFR E-6'!$O$14</f>
        <v>0</v>
      </c>
      <c r="Z47" s="301">
        <f>'[2]MFR E-6'!$P$14</f>
        <v>0</v>
      </c>
      <c r="AA47" s="302">
        <f t="shared" si="8"/>
        <v>0</v>
      </c>
      <c r="AB47" s="290"/>
      <c r="AC47" s="302">
        <f t="shared" si="6"/>
        <v>36371.974451110989</v>
      </c>
      <c r="AD47" s="302">
        <f t="shared" si="6"/>
        <v>18516.163084224856</v>
      </c>
      <c r="AE47" s="302">
        <f t="shared" si="6"/>
        <v>332.60294108409289</v>
      </c>
      <c r="AF47" s="302">
        <f t="shared" si="6"/>
        <v>137.54898027253603</v>
      </c>
      <c r="AG47" s="302">
        <f t="shared" si="6"/>
        <v>14642.215350996034</v>
      </c>
      <c r="AH47" s="302">
        <f t="shared" si="6"/>
        <v>108.43588062542153</v>
      </c>
      <c r="AI47" s="302">
        <f t="shared" si="6"/>
        <v>3014.0235925884008</v>
      </c>
      <c r="AJ47" s="302">
        <f t="shared" si="6"/>
        <v>-379.01537868039566</v>
      </c>
      <c r="AK47" s="302">
        <f t="shared" si="6"/>
        <v>0</v>
      </c>
      <c r="AL47" s="302">
        <f t="shared" si="6"/>
        <v>0</v>
      </c>
      <c r="AM47" s="302">
        <f t="shared" si="6"/>
        <v>0</v>
      </c>
    </row>
    <row r="48" spans="4:39" x14ac:dyDescent="0.3">
      <c r="D48" s="89" t="s">
        <v>65</v>
      </c>
      <c r="F48" s="301">
        <f>'[2]MFR E-6'!$AD$15</f>
        <v>683349.39375744178</v>
      </c>
      <c r="G48" s="301">
        <f>'[2]MFR E-6'!$AE$15</f>
        <v>439991.58480404277</v>
      </c>
      <c r="H48" s="301">
        <f>'[2]MFR E-6'!$AF$15</f>
        <v>41924.858833237835</v>
      </c>
      <c r="I48" s="301">
        <f>'[2]MFR E-6'!$AG$15</f>
        <v>1917.9956859587007</v>
      </c>
      <c r="J48" s="301">
        <f>'[2]MFR E-6'!$AH$15</f>
        <v>174539.18214802328</v>
      </c>
      <c r="K48" s="301">
        <f>'[2]MFR E-6'!$AR$15</f>
        <v>2710.7837716638783</v>
      </c>
      <c r="L48" s="301">
        <f>'[2]MFR E-6'!$AQ$15</f>
        <v>16766.564267084097</v>
      </c>
      <c r="M48" s="301">
        <f>'[2]MFR E-6'!$AJ$15</f>
        <v>5498.4242474311131</v>
      </c>
      <c r="N48" s="301">
        <f>'[2]MFR E-6'!$AK$15</f>
        <v>0</v>
      </c>
      <c r="O48" s="301">
        <f>'[2]MFR E-6'!$AL$15</f>
        <v>0</v>
      </c>
      <c r="P48" s="302">
        <f t="shared" si="7"/>
        <v>0</v>
      </c>
      <c r="Q48" s="301">
        <f>'[2]MFR E-6'!$H$15</f>
        <v>731005.84962827165</v>
      </c>
      <c r="R48" s="301">
        <f>'[2]MFR E-6'!$I$15</f>
        <v>466719.24169162376</v>
      </c>
      <c r="S48" s="301">
        <f>'[2]MFR E-6'!$J$15</f>
        <v>43258.03001574213</v>
      </c>
      <c r="T48" s="301">
        <f>'[2]MFR E-6'!$K$15</f>
        <v>1979.6451891049046</v>
      </c>
      <c r="U48" s="301">
        <f>'[2]MFR E-6'!$L$15</f>
        <v>191731.41919861</v>
      </c>
      <c r="V48" s="301">
        <f>'[2]MFR E-6'!$V$15</f>
        <v>3100.6490913691277</v>
      </c>
      <c r="W48" s="301">
        <f>'[2]MFR E-6'!$U$15</f>
        <v>17602.146380233975</v>
      </c>
      <c r="X48" s="301">
        <f>'[2]MFR E-6'!$N$15</f>
        <v>6614.7180615874731</v>
      </c>
      <c r="Y48" s="301">
        <f>'[2]MFR E-6'!$O$15</f>
        <v>0</v>
      </c>
      <c r="Z48" s="301">
        <f>'[2]MFR E-6'!$P$15</f>
        <v>0</v>
      </c>
      <c r="AA48" s="302">
        <f t="shared" si="8"/>
        <v>0</v>
      </c>
      <c r="AB48" s="290"/>
      <c r="AC48" s="302">
        <f t="shared" si="6"/>
        <v>47656.455870829872</v>
      </c>
      <c r="AD48" s="302">
        <f t="shared" si="6"/>
        <v>26727.65688758099</v>
      </c>
      <c r="AE48" s="302">
        <f t="shared" si="6"/>
        <v>1333.1711825042948</v>
      </c>
      <c r="AF48" s="302">
        <f t="shared" si="6"/>
        <v>61.64950314620387</v>
      </c>
      <c r="AG48" s="302">
        <f t="shared" si="6"/>
        <v>17192.237050586729</v>
      </c>
      <c r="AH48" s="302">
        <f t="shared" si="6"/>
        <v>389.86531970524948</v>
      </c>
      <c r="AI48" s="302">
        <f t="shared" si="6"/>
        <v>835.58211314987784</v>
      </c>
      <c r="AJ48" s="302">
        <f t="shared" si="6"/>
        <v>1116.29381415636</v>
      </c>
      <c r="AK48" s="302">
        <f t="shared" si="6"/>
        <v>0</v>
      </c>
      <c r="AL48" s="302">
        <f t="shared" si="6"/>
        <v>0</v>
      </c>
      <c r="AM48" s="302">
        <f t="shared" si="6"/>
        <v>0</v>
      </c>
    </row>
    <row r="49" spans="4:39" x14ac:dyDescent="0.3">
      <c r="D49" s="89" t="s">
        <v>66</v>
      </c>
      <c r="F49" s="301">
        <f>'[2]MFR E-6'!$AD$16</f>
        <v>0</v>
      </c>
      <c r="G49" s="301">
        <f>'[2]MFR E-6'!$AE$16</f>
        <v>0</v>
      </c>
      <c r="H49" s="301">
        <f>'[2]MFR E-6'!$AF$16</f>
        <v>0</v>
      </c>
      <c r="I49" s="301">
        <f>'[2]MFR E-6'!$AG$16</f>
        <v>0</v>
      </c>
      <c r="J49" s="301">
        <f>'[2]MFR E-6'!$AH$16</f>
        <v>0</v>
      </c>
      <c r="K49" s="301">
        <f>'[2]MFR E-6'!$AR$16</f>
        <v>0</v>
      </c>
      <c r="L49" s="301">
        <f>'[2]MFR E-6'!$AQ$16</f>
        <v>0</v>
      </c>
      <c r="M49" s="301">
        <f>'[2]MFR E-6'!$AJ$16</f>
        <v>0</v>
      </c>
      <c r="N49" s="301">
        <f>'[2]MFR E-6'!$AK$16</f>
        <v>0</v>
      </c>
      <c r="O49" s="301">
        <f>'[2]MFR E-6'!$AL$16</f>
        <v>0</v>
      </c>
      <c r="P49" s="302">
        <f t="shared" si="7"/>
        <v>0</v>
      </c>
      <c r="Q49" s="301">
        <f>'[2]MFR E-6'!$H$16</f>
        <v>0</v>
      </c>
      <c r="R49" s="301">
        <f>'[2]MFR E-6'!$I$16</f>
        <v>0</v>
      </c>
      <c r="S49" s="301">
        <f>'[2]MFR E-6'!$J$16</f>
        <v>0</v>
      </c>
      <c r="T49" s="301">
        <f>'[2]MFR E-6'!$K$16</f>
        <v>0</v>
      </c>
      <c r="U49" s="301">
        <f>'[2]MFR E-6'!$L$16</f>
        <v>0</v>
      </c>
      <c r="V49" s="301">
        <f>'[2]MFR E-6'!$V$16</f>
        <v>0</v>
      </c>
      <c r="W49" s="301">
        <f>'[2]MFR E-6'!$U$16</f>
        <v>0</v>
      </c>
      <c r="X49" s="301">
        <f>'[2]MFR E-6'!$N$16</f>
        <v>0</v>
      </c>
      <c r="Y49" s="301">
        <f>'[2]MFR E-6'!$O$16</f>
        <v>0</v>
      </c>
      <c r="Z49" s="301">
        <f>'[2]MFR E-6'!$P$16</f>
        <v>0</v>
      </c>
      <c r="AA49" s="302">
        <f t="shared" si="8"/>
        <v>0</v>
      </c>
      <c r="AB49" s="290"/>
      <c r="AC49" s="302">
        <f t="shared" si="6"/>
        <v>0</v>
      </c>
      <c r="AD49" s="302">
        <f t="shared" si="6"/>
        <v>0</v>
      </c>
      <c r="AE49" s="302">
        <f t="shared" si="6"/>
        <v>0</v>
      </c>
      <c r="AF49" s="302">
        <f t="shared" si="6"/>
        <v>0</v>
      </c>
      <c r="AG49" s="302">
        <f t="shared" si="6"/>
        <v>0</v>
      </c>
      <c r="AH49" s="302">
        <f t="shared" si="6"/>
        <v>0</v>
      </c>
      <c r="AI49" s="302">
        <f t="shared" si="6"/>
        <v>0</v>
      </c>
      <c r="AJ49" s="302">
        <f t="shared" si="6"/>
        <v>0</v>
      </c>
      <c r="AK49" s="302">
        <f t="shared" si="6"/>
        <v>0</v>
      </c>
      <c r="AL49" s="302">
        <f t="shared" si="6"/>
        <v>0</v>
      </c>
      <c r="AM49" s="302">
        <f t="shared" si="6"/>
        <v>0</v>
      </c>
    </row>
    <row r="50" spans="4:39" x14ac:dyDescent="0.3">
      <c r="D50" s="89" t="s">
        <v>68</v>
      </c>
      <c r="F50" s="301">
        <f>'[2]MFR E-6'!$AD$17</f>
        <v>276970.59591652796</v>
      </c>
      <c r="G50" s="301">
        <f>'[2]MFR E-6'!$AE$17</f>
        <v>203996.11856132973</v>
      </c>
      <c r="H50" s="301">
        <f>'[2]MFR E-6'!$AF$17</f>
        <v>18146.314472985599</v>
      </c>
      <c r="I50" s="301">
        <f>'[2]MFR E-6'!$AG$17</f>
        <v>469.3092754817539</v>
      </c>
      <c r="J50" s="301">
        <f>'[2]MFR E-6'!$AH$17</f>
        <v>44590.56620374776</v>
      </c>
      <c r="K50" s="301">
        <f>'[2]MFR E-6'!$AR$17</f>
        <v>164.85562979391048</v>
      </c>
      <c r="L50" s="301">
        <f>'[2]MFR E-6'!$AQ$17</f>
        <v>2474.5427031440236</v>
      </c>
      <c r="M50" s="301">
        <f>'[2]MFR E-6'!$AJ$17</f>
        <v>1189.168326633609</v>
      </c>
      <c r="N50" s="301">
        <f>'[2]MFR E-6'!$AK$17</f>
        <v>0</v>
      </c>
      <c r="O50" s="301">
        <f>'[2]MFR E-6'!$AL$17</f>
        <v>5939.7207434116463</v>
      </c>
      <c r="P50" s="302">
        <f t="shared" si="7"/>
        <v>0</v>
      </c>
      <c r="Q50" s="301">
        <f>'[2]MFR E-6'!$H$17</f>
        <v>291346.1590276424</v>
      </c>
      <c r="R50" s="301">
        <f>'[2]MFR E-6'!$I$17</f>
        <v>222192.71000376792</v>
      </c>
      <c r="S50" s="301">
        <f>'[2]MFR E-6'!$J$17</f>
        <v>18936.47644168706</v>
      </c>
      <c r="T50" s="301">
        <f>'[2]MFR E-6'!$K$17</f>
        <v>383.22355607770453</v>
      </c>
      <c r="U50" s="301">
        <f>'[2]MFR E-6'!$L$17</f>
        <v>42217.692236014118</v>
      </c>
      <c r="V50" s="301">
        <f>'[2]MFR E-6'!$V$17</f>
        <v>0</v>
      </c>
      <c r="W50" s="301">
        <f>'[2]MFR E-6'!$U$17</f>
        <v>1292.8023578524972</v>
      </c>
      <c r="X50" s="301">
        <f>'[2]MFR E-6'!$N$17</f>
        <v>1280.4899544443781</v>
      </c>
      <c r="Y50" s="301">
        <f>'[2]MFR E-6'!$O$17</f>
        <v>0</v>
      </c>
      <c r="Z50" s="301">
        <f>'[2]MFR E-6'!$P$17</f>
        <v>5042.7644777988007</v>
      </c>
      <c r="AA50" s="302">
        <f t="shared" si="8"/>
        <v>0</v>
      </c>
      <c r="AB50" s="290"/>
      <c r="AC50" s="302">
        <f t="shared" si="6"/>
        <v>14375.563111114432</v>
      </c>
      <c r="AD50" s="302">
        <f t="shared" si="6"/>
        <v>18196.591442438192</v>
      </c>
      <c r="AE50" s="302">
        <f t="shared" si="6"/>
        <v>790.16196870146086</v>
      </c>
      <c r="AF50" s="302">
        <f t="shared" si="6"/>
        <v>-86.085719404049371</v>
      </c>
      <c r="AG50" s="302">
        <f t="shared" si="6"/>
        <v>-2372.8739677336416</v>
      </c>
      <c r="AH50" s="302">
        <f t="shared" si="6"/>
        <v>-164.85562979391048</v>
      </c>
      <c r="AI50" s="302">
        <f t="shared" si="6"/>
        <v>-1181.7403452915264</v>
      </c>
      <c r="AJ50" s="302">
        <f t="shared" si="6"/>
        <v>91.321627810769087</v>
      </c>
      <c r="AK50" s="302">
        <f t="shared" si="6"/>
        <v>0</v>
      </c>
      <c r="AL50" s="302">
        <f t="shared" si="6"/>
        <v>-896.95626561284553</v>
      </c>
      <c r="AM50" s="302">
        <f t="shared" si="6"/>
        <v>0</v>
      </c>
    </row>
    <row r="51" spans="4:39" x14ac:dyDescent="0.3">
      <c r="D51" s="89" t="s">
        <v>286</v>
      </c>
      <c r="F51" s="301">
        <f>'[2]MFR E-6'!$AD$18</f>
        <v>0</v>
      </c>
      <c r="G51" s="301">
        <f>'[2]MFR E-6'!$AE$18</f>
        <v>0</v>
      </c>
      <c r="H51" s="301">
        <f>'[2]MFR E-6'!$AF$18</f>
        <v>0</v>
      </c>
      <c r="I51" s="301">
        <f>'[2]MFR E-6'!$AG$18</f>
        <v>0</v>
      </c>
      <c r="J51" s="301">
        <f>'[2]MFR E-6'!$AH$18</f>
        <v>0</v>
      </c>
      <c r="K51" s="301">
        <f>'[2]MFR E-6'!$AR$18</f>
        <v>0</v>
      </c>
      <c r="L51" s="301">
        <f>'[2]MFR E-6'!$AQ$18</f>
        <v>0</v>
      </c>
      <c r="M51" s="301">
        <f>'[2]MFR E-6'!$AJ$18</f>
        <v>0</v>
      </c>
      <c r="N51" s="301">
        <f>'[2]MFR E-6'!$AK$18</f>
        <v>0</v>
      </c>
      <c r="O51" s="301">
        <f>'[2]MFR E-6'!$AL$18</f>
        <v>0</v>
      </c>
      <c r="P51" s="302">
        <f t="shared" si="7"/>
        <v>0</v>
      </c>
      <c r="Q51" s="301">
        <f>'[2]MFR E-6'!$H$18</f>
        <v>0</v>
      </c>
      <c r="R51" s="301">
        <f>'[2]MFR E-6'!$I$18</f>
        <v>0</v>
      </c>
      <c r="S51" s="301">
        <f>'[2]MFR E-6'!$J$18</f>
        <v>0</v>
      </c>
      <c r="T51" s="301">
        <f>'[2]MFR E-6'!$K$18</f>
        <v>0</v>
      </c>
      <c r="U51" s="301">
        <f>'[2]MFR E-6'!$L$18</f>
        <v>0</v>
      </c>
      <c r="V51" s="301">
        <f>'[2]MFR E-6'!$V$18</f>
        <v>0</v>
      </c>
      <c r="W51" s="301">
        <f>'[2]MFR E-6'!$U$18</f>
        <v>0</v>
      </c>
      <c r="X51" s="301">
        <f>'[2]MFR E-6'!$N$18</f>
        <v>0</v>
      </c>
      <c r="Y51" s="301">
        <f>'[2]MFR E-6'!$O$18</f>
        <v>0</v>
      </c>
      <c r="Z51" s="301">
        <f>'[2]MFR E-6'!$P$18</f>
        <v>0</v>
      </c>
      <c r="AA51" s="302">
        <f t="shared" si="8"/>
        <v>0</v>
      </c>
      <c r="AB51" s="290"/>
      <c r="AC51" s="302">
        <f t="shared" si="6"/>
        <v>0</v>
      </c>
      <c r="AD51" s="302">
        <f t="shared" si="6"/>
        <v>0</v>
      </c>
      <c r="AE51" s="302">
        <f t="shared" si="6"/>
        <v>0</v>
      </c>
      <c r="AF51" s="302">
        <f t="shared" si="6"/>
        <v>0</v>
      </c>
      <c r="AG51" s="302">
        <f t="shared" si="6"/>
        <v>0</v>
      </c>
      <c r="AH51" s="302">
        <f t="shared" si="6"/>
        <v>0</v>
      </c>
      <c r="AI51" s="302">
        <f t="shared" si="6"/>
        <v>0</v>
      </c>
      <c r="AJ51" s="302">
        <f t="shared" si="6"/>
        <v>0</v>
      </c>
      <c r="AK51" s="302">
        <f t="shared" si="6"/>
        <v>0</v>
      </c>
      <c r="AL51" s="302">
        <f t="shared" si="6"/>
        <v>0</v>
      </c>
      <c r="AM51" s="302">
        <f t="shared" si="6"/>
        <v>0</v>
      </c>
    </row>
    <row r="52" spans="4:39" x14ac:dyDescent="0.3">
      <c r="D52" s="89" t="s">
        <v>70</v>
      </c>
      <c r="F52" s="301">
        <f>'[2]MFR E-6'!$AD$19</f>
        <v>57053.775733731796</v>
      </c>
      <c r="G52" s="301">
        <f>'[2]MFR E-6'!$AE$19</f>
        <v>46303.000061405568</v>
      </c>
      <c r="H52" s="301">
        <f>'[2]MFR E-6'!$AF$19</f>
        <v>3746.2872747259817</v>
      </c>
      <c r="I52" s="301">
        <f>'[2]MFR E-6'!$AG$19</f>
        <v>343.16156052031977</v>
      </c>
      <c r="J52" s="301">
        <f>'[2]MFR E-6'!$AH$19</f>
        <v>4829.6241922710105</v>
      </c>
      <c r="K52" s="301">
        <f>'[2]MFR E-6'!$AR$19</f>
        <v>49.026353135605994</v>
      </c>
      <c r="L52" s="301">
        <f>'[2]MFR E-6'!$AQ$19</f>
        <v>450.09543370013103</v>
      </c>
      <c r="M52" s="301">
        <f>'[2]MFR E-6'!$AJ$19</f>
        <v>1332.5808579731904</v>
      </c>
      <c r="N52" s="301">
        <f>'[2]MFR E-6'!$AK$19</f>
        <v>0</v>
      </c>
      <c r="O52" s="301">
        <f>'[2]MFR E-6'!$AL$19</f>
        <v>0</v>
      </c>
      <c r="P52" s="302">
        <f t="shared" si="7"/>
        <v>0</v>
      </c>
      <c r="Q52" s="301">
        <f>'[2]MFR E-6'!$H$19</f>
        <v>53606.294698778242</v>
      </c>
      <c r="R52" s="301">
        <f>'[2]MFR E-6'!$I$19</f>
        <v>46841.563509004198</v>
      </c>
      <c r="S52" s="301">
        <f>'[2]MFR E-6'!$J$19</f>
        <v>3421.379431602707</v>
      </c>
      <c r="T52" s="301">
        <f>'[2]MFR E-6'!$K$19</f>
        <v>386.69582874368541</v>
      </c>
      <c r="U52" s="301">
        <f>'[2]MFR E-6'!$L$19</f>
        <v>1262.7774513832576</v>
      </c>
      <c r="V52" s="301">
        <f>'[2]MFR E-6'!$V$19</f>
        <v>1.4550008097289596E-2</v>
      </c>
      <c r="W52" s="301">
        <f>'[2]MFR E-6'!$U$19</f>
        <v>1.7609900551746003</v>
      </c>
      <c r="X52" s="301">
        <f>'[2]MFR E-6'!$N$19</f>
        <v>1692.1029379811428</v>
      </c>
      <c r="Y52" s="301">
        <f>'[2]MFR E-6'!$O$19</f>
        <v>0</v>
      </c>
      <c r="Z52" s="301">
        <f>'[2]MFR E-6'!$P$19</f>
        <v>0</v>
      </c>
      <c r="AA52" s="302">
        <f t="shared" si="8"/>
        <v>0</v>
      </c>
      <c r="AB52" s="290"/>
      <c r="AC52" s="302">
        <f t="shared" si="6"/>
        <v>-3447.4810349535546</v>
      </c>
      <c r="AD52" s="302">
        <f t="shared" si="6"/>
        <v>538.56344759862986</v>
      </c>
      <c r="AE52" s="302">
        <f t="shared" si="6"/>
        <v>-324.90784312327469</v>
      </c>
      <c r="AF52" s="302">
        <f t="shared" si="6"/>
        <v>43.534268223365643</v>
      </c>
      <c r="AG52" s="302">
        <f t="shared" si="6"/>
        <v>-3566.8467408877532</v>
      </c>
      <c r="AH52" s="302">
        <f t="shared" si="6"/>
        <v>-49.011803127508706</v>
      </c>
      <c r="AI52" s="302">
        <f t="shared" si="6"/>
        <v>-448.33444364495642</v>
      </c>
      <c r="AJ52" s="302">
        <f t="shared" si="6"/>
        <v>359.52208000795235</v>
      </c>
      <c r="AK52" s="302">
        <f t="shared" si="6"/>
        <v>0</v>
      </c>
      <c r="AL52" s="302">
        <f t="shared" si="6"/>
        <v>0</v>
      </c>
      <c r="AM52" s="302">
        <f t="shared" si="6"/>
        <v>0</v>
      </c>
    </row>
    <row r="53" spans="4:39" x14ac:dyDescent="0.3">
      <c r="D53" s="89" t="s">
        <v>71</v>
      </c>
      <c r="F53" s="301">
        <f>'[2]MFR E-6'!$AD$20</f>
        <v>82563.272691819904</v>
      </c>
      <c r="G53" s="301">
        <f>'[2]MFR E-6'!$AE$20</f>
        <v>64133.0074322152</v>
      </c>
      <c r="H53" s="301">
        <f>'[2]MFR E-6'!$AF$20</f>
        <v>6582.2096648608031</v>
      </c>
      <c r="I53" s="301">
        <f>'[2]MFR E-6'!$AG$20</f>
        <v>512.78087289690586</v>
      </c>
      <c r="J53" s="301">
        <f>'[2]MFR E-6'!$AH$20</f>
        <v>8481.2659796300595</v>
      </c>
      <c r="K53" s="301">
        <f>'[2]MFR E-6'!$AR$20</f>
        <v>66.207033178175919</v>
      </c>
      <c r="L53" s="301">
        <f>'[2]MFR E-6'!$AQ$20</f>
        <v>582.88737307952317</v>
      </c>
      <c r="M53" s="301">
        <f>'[2]MFR E-6'!$AJ$20</f>
        <v>2204.9143359592508</v>
      </c>
      <c r="N53" s="301">
        <f>'[2]MFR E-6'!$AK$20</f>
        <v>0</v>
      </c>
      <c r="O53" s="301">
        <f>'[2]MFR E-6'!$AL$20</f>
        <v>0</v>
      </c>
      <c r="P53" s="302">
        <f t="shared" si="7"/>
        <v>0</v>
      </c>
      <c r="Q53" s="301">
        <f>'[2]MFR E-6'!$H$20</f>
        <v>87236.297248871095</v>
      </c>
      <c r="R53" s="301">
        <f>'[2]MFR E-6'!$I$20</f>
        <v>70365.59037559721</v>
      </c>
      <c r="S53" s="301">
        <f>'[2]MFR E-6'!$J$20</f>
        <v>7182.3046747328744</v>
      </c>
      <c r="T53" s="301">
        <f>'[2]MFR E-6'!$K$20</f>
        <v>612.17366822800682</v>
      </c>
      <c r="U53" s="301">
        <f>'[2]MFR E-6'!$L$20</f>
        <v>6030.9498602496687</v>
      </c>
      <c r="V53" s="301">
        <f>'[2]MFR E-6'!$V$20</f>
        <v>21.474586472384647</v>
      </c>
      <c r="W53" s="301">
        <f>'[2]MFR E-6'!$U$20</f>
        <v>165.41237211920551</v>
      </c>
      <c r="X53" s="301">
        <f>'[2]MFR E-6'!$N$20</f>
        <v>2858.3917114717574</v>
      </c>
      <c r="Y53" s="301">
        <f>'[2]MFR E-6'!$O$20</f>
        <v>0</v>
      </c>
      <c r="Z53" s="301">
        <f>'[2]MFR E-6'!$P$20</f>
        <v>0</v>
      </c>
      <c r="AA53" s="302">
        <f t="shared" si="8"/>
        <v>0</v>
      </c>
      <c r="AB53" s="290"/>
      <c r="AC53" s="302">
        <f t="shared" si="6"/>
        <v>4673.0245570511906</v>
      </c>
      <c r="AD53" s="302">
        <f t="shared" si="6"/>
        <v>6232.5829433820109</v>
      </c>
      <c r="AE53" s="302">
        <f t="shared" si="6"/>
        <v>600.09500987207139</v>
      </c>
      <c r="AF53" s="302">
        <f t="shared" si="6"/>
        <v>99.392795331100956</v>
      </c>
      <c r="AG53" s="302">
        <f t="shared" si="6"/>
        <v>-2450.3161193803908</v>
      </c>
      <c r="AH53" s="302">
        <f t="shared" si="6"/>
        <v>-44.732446705791276</v>
      </c>
      <c r="AI53" s="302">
        <f t="shared" si="6"/>
        <v>-417.47500096031763</v>
      </c>
      <c r="AJ53" s="302">
        <f t="shared" si="6"/>
        <v>653.47737551250657</v>
      </c>
      <c r="AK53" s="302">
        <f t="shared" si="6"/>
        <v>0</v>
      </c>
      <c r="AL53" s="302">
        <f t="shared" si="6"/>
        <v>0</v>
      </c>
      <c r="AM53" s="302">
        <f t="shared" si="6"/>
        <v>0</v>
      </c>
    </row>
    <row r="54" spans="4:39" x14ac:dyDescent="0.3">
      <c r="D54" s="89" t="s">
        <v>72</v>
      </c>
      <c r="F54" s="301">
        <f>'[2]MFR E-6'!$AD$21</f>
        <v>487.76144897476252</v>
      </c>
      <c r="G54" s="301">
        <f>'[2]MFR E-6'!$AE$21</f>
        <v>67.549797478954432</v>
      </c>
      <c r="H54" s="301">
        <f>'[2]MFR E-6'!$AF$21</f>
        <v>7.1049246881122174</v>
      </c>
      <c r="I54" s="301">
        <f>'[2]MFR E-6'!$AG$21</f>
        <v>0.32467604123608806</v>
      </c>
      <c r="J54" s="301">
        <f>'[2]MFR E-6'!$AH$21</f>
        <v>23.166784673561743</v>
      </c>
      <c r="K54" s="301">
        <f>'[2]MFR E-6'!$AR$21</f>
        <v>0.29214335272234015</v>
      </c>
      <c r="L54" s="301">
        <f>'[2]MFR E-6'!$AQ$21</f>
        <v>388.9098323385486</v>
      </c>
      <c r="M54" s="301">
        <f>'[2]MFR E-6'!$AJ$21</f>
        <v>0.4132904016270702</v>
      </c>
      <c r="N54" s="301">
        <f>'[2]MFR E-6'!$AK$21</f>
        <v>0</v>
      </c>
      <c r="O54" s="301">
        <f>'[2]MFR E-6'!$AL$21</f>
        <v>0</v>
      </c>
      <c r="P54" s="302">
        <f t="shared" si="7"/>
        <v>0</v>
      </c>
      <c r="Q54" s="301">
        <f>'[2]MFR E-6'!$H$21</f>
        <v>517.35985266103307</v>
      </c>
      <c r="R54" s="301">
        <f>'[2]MFR E-6'!$I$21</f>
        <v>0</v>
      </c>
      <c r="S54" s="301">
        <f>'[2]MFR E-6'!$J$21</f>
        <v>0</v>
      </c>
      <c r="T54" s="301">
        <f>'[2]MFR E-6'!$K$21</f>
        <v>0</v>
      </c>
      <c r="U54" s="301">
        <f>'[2]MFR E-6'!$L$21</f>
        <v>0</v>
      </c>
      <c r="V54" s="301">
        <f>'[2]MFR E-6'!$V$21</f>
        <v>0</v>
      </c>
      <c r="W54" s="301">
        <f>'[2]MFR E-6'!$U$21</f>
        <v>517.35985266103307</v>
      </c>
      <c r="X54" s="301">
        <f>'[2]MFR E-6'!$N$21</f>
        <v>0</v>
      </c>
      <c r="Y54" s="301">
        <f>'[2]MFR E-6'!$O$21</f>
        <v>0</v>
      </c>
      <c r="Z54" s="301">
        <f>'[2]MFR E-6'!$P$21</f>
        <v>0</v>
      </c>
      <c r="AA54" s="302">
        <f t="shared" si="8"/>
        <v>0</v>
      </c>
      <c r="AB54" s="290"/>
      <c r="AC54" s="302">
        <f t="shared" si="6"/>
        <v>29.598403686270558</v>
      </c>
      <c r="AD54" s="302">
        <f t="shared" si="6"/>
        <v>-67.549797478954432</v>
      </c>
      <c r="AE54" s="302">
        <f t="shared" si="6"/>
        <v>-7.1049246881122174</v>
      </c>
      <c r="AF54" s="302">
        <f t="shared" si="6"/>
        <v>-0.32467604123608806</v>
      </c>
      <c r="AG54" s="302">
        <f t="shared" si="6"/>
        <v>-23.166784673561743</v>
      </c>
      <c r="AH54" s="302">
        <f t="shared" si="6"/>
        <v>-0.29214335272234015</v>
      </c>
      <c r="AI54" s="302">
        <f t="shared" si="6"/>
        <v>128.45002032248448</v>
      </c>
      <c r="AJ54" s="302">
        <f t="shared" si="6"/>
        <v>-0.4132904016270702</v>
      </c>
      <c r="AK54" s="302">
        <f t="shared" si="6"/>
        <v>0</v>
      </c>
      <c r="AL54" s="302">
        <f t="shared" si="6"/>
        <v>0</v>
      </c>
      <c r="AM54" s="302">
        <f t="shared" si="6"/>
        <v>0</v>
      </c>
    </row>
    <row r="55" spans="4:39" x14ac:dyDescent="0.3">
      <c r="D55" s="89" t="s">
        <v>73</v>
      </c>
      <c r="F55" s="301">
        <f>'[2]MFR E-6'!$AD$22</f>
        <v>106876.55083489435</v>
      </c>
      <c r="G55" s="301">
        <f>'[2]MFR E-6'!$AE$22</f>
        <v>0</v>
      </c>
      <c r="H55" s="301">
        <f>'[2]MFR E-6'!$AF$22</f>
        <v>0</v>
      </c>
      <c r="I55" s="301">
        <f>'[2]MFR E-6'!$AG$22</f>
        <v>0</v>
      </c>
      <c r="J55" s="301">
        <f>'[2]MFR E-6'!$AH$22</f>
        <v>0</v>
      </c>
      <c r="K55" s="301">
        <f>'[2]MFR E-6'!$AR$22</f>
        <v>0</v>
      </c>
      <c r="L55" s="301">
        <f>'[2]MFR E-6'!$AQ$22</f>
        <v>0</v>
      </c>
      <c r="M55" s="301">
        <f>'[2]MFR E-6'!$AJ$22</f>
        <v>0</v>
      </c>
      <c r="N55" s="301">
        <f>'[2]MFR E-6'!$AK$22</f>
        <v>106876.55083489435</v>
      </c>
      <c r="O55" s="301">
        <f>'[2]MFR E-6'!$AL$22</f>
        <v>0</v>
      </c>
      <c r="P55" s="302">
        <f t="shared" si="7"/>
        <v>0</v>
      </c>
      <c r="Q55" s="301">
        <f>'[2]MFR E-6'!$H$22</f>
        <v>113088.54648489349</v>
      </c>
      <c r="R55" s="301">
        <f>'[2]MFR E-6'!$I$22</f>
        <v>0</v>
      </c>
      <c r="S55" s="301">
        <f>'[2]MFR E-6'!$J$22</f>
        <v>0</v>
      </c>
      <c r="T55" s="301">
        <f>'[2]MFR E-6'!$K$22</f>
        <v>0</v>
      </c>
      <c r="U55" s="301">
        <f>'[2]MFR E-6'!$L$22</f>
        <v>0</v>
      </c>
      <c r="V55" s="301">
        <f>'[2]MFR E-6'!$V$22</f>
        <v>0</v>
      </c>
      <c r="W55" s="301">
        <f>'[2]MFR E-6'!$U$22</f>
        <v>0</v>
      </c>
      <c r="X55" s="301">
        <f>'[2]MFR E-6'!$N$22</f>
        <v>0</v>
      </c>
      <c r="Y55" s="301">
        <f>'[2]MFR E-6'!$O$22</f>
        <v>113088.54648489349</v>
      </c>
      <c r="Z55" s="301">
        <f>'[2]MFR E-6'!$P$22</f>
        <v>0</v>
      </c>
      <c r="AA55" s="302">
        <f t="shared" si="8"/>
        <v>0</v>
      </c>
      <c r="AB55" s="290"/>
      <c r="AC55" s="302">
        <f t="shared" si="6"/>
        <v>6211.9956499991385</v>
      </c>
      <c r="AD55" s="302">
        <f t="shared" si="6"/>
        <v>0</v>
      </c>
      <c r="AE55" s="302">
        <f t="shared" si="6"/>
        <v>0</v>
      </c>
      <c r="AF55" s="302">
        <f t="shared" si="6"/>
        <v>0</v>
      </c>
      <c r="AG55" s="302">
        <f t="shared" si="6"/>
        <v>0</v>
      </c>
      <c r="AH55" s="302">
        <f t="shared" si="6"/>
        <v>0</v>
      </c>
      <c r="AI55" s="302">
        <f t="shared" si="6"/>
        <v>0</v>
      </c>
      <c r="AJ55" s="302">
        <f t="shared" si="6"/>
        <v>0</v>
      </c>
      <c r="AK55" s="302">
        <f t="shared" si="6"/>
        <v>6211.9956499991385</v>
      </c>
      <c r="AL55" s="302">
        <f t="shared" si="6"/>
        <v>0</v>
      </c>
      <c r="AM55" s="302">
        <f t="shared" si="6"/>
        <v>0</v>
      </c>
    </row>
    <row r="56" spans="4:39" x14ac:dyDescent="0.3">
      <c r="D56" s="89" t="s">
        <v>75</v>
      </c>
      <c r="F56" s="301">
        <f>'[2]MFR E-6'!$AD$23</f>
        <v>201205.62630689231</v>
      </c>
      <c r="G56" s="301">
        <f>'[2]MFR E-6'!$AE$23</f>
        <v>166653.66034370594</v>
      </c>
      <c r="H56" s="301">
        <f>'[2]MFR E-6'!$AF$23</f>
        <v>13119.688237960208</v>
      </c>
      <c r="I56" s="301">
        <f>'[2]MFR E-6'!$AG$23</f>
        <v>1275.4116914062129</v>
      </c>
      <c r="J56" s="301">
        <f>'[2]MFR E-6'!$AH$23</f>
        <v>13719.842414703637</v>
      </c>
      <c r="K56" s="301">
        <f>'[2]MFR E-6'!$AR$23</f>
        <v>126.39735075067573</v>
      </c>
      <c r="L56" s="301">
        <f>'[2]MFR E-6'!$AQ$23</f>
        <v>1163.748141364387</v>
      </c>
      <c r="M56" s="301">
        <f>'[2]MFR E-6'!$AJ$23</f>
        <v>5146.8781270012441</v>
      </c>
      <c r="N56" s="301">
        <f>'[2]MFR E-6'!$AK$23</f>
        <v>0</v>
      </c>
      <c r="O56" s="301">
        <f>'[2]MFR E-6'!$AL$23</f>
        <v>0</v>
      </c>
      <c r="P56" s="302">
        <f t="shared" si="7"/>
        <v>0</v>
      </c>
      <c r="Q56" s="301">
        <f>'[2]MFR E-6'!$H$23</f>
        <v>212991.91389756787</v>
      </c>
      <c r="R56" s="301">
        <f>'[2]MFR E-6'!$I$23</f>
        <v>185444.9830260606</v>
      </c>
      <c r="S56" s="301">
        <f>'[2]MFR E-6'!$J$23</f>
        <v>13491.7060023757</v>
      </c>
      <c r="T56" s="301">
        <f>'[2]MFR E-6'!$K$23</f>
        <v>1533.4826833027375</v>
      </c>
      <c r="U56" s="301">
        <f>'[2]MFR E-6'!$L$23</f>
        <v>5665.0153475784837</v>
      </c>
      <c r="V56" s="301">
        <f>'[2]MFR E-6'!$V$23</f>
        <v>8.2463079504358472</v>
      </c>
      <c r="W56" s="301">
        <f>'[2]MFR E-6'!$U$23</f>
        <v>152.14928189979469</v>
      </c>
      <c r="X56" s="301">
        <f>'[2]MFR E-6'!$N$23</f>
        <v>6696.3312600409254</v>
      </c>
      <c r="Y56" s="301">
        <f>'[2]MFR E-6'!$O$23</f>
        <v>0</v>
      </c>
      <c r="Z56" s="301">
        <f>'[2]MFR E-6'!$P$23</f>
        <v>0</v>
      </c>
      <c r="AA56" s="302">
        <f t="shared" si="8"/>
        <v>-1.1640804586932063E-5</v>
      </c>
      <c r="AB56" s="290"/>
      <c r="AC56" s="302">
        <f t="shared" si="6"/>
        <v>11786.287590675551</v>
      </c>
      <c r="AD56" s="302">
        <f t="shared" si="6"/>
        <v>18791.322682354657</v>
      </c>
      <c r="AE56" s="302">
        <f t="shared" si="6"/>
        <v>372.01776441549191</v>
      </c>
      <c r="AF56" s="302">
        <f t="shared" si="6"/>
        <v>258.07099189652467</v>
      </c>
      <c r="AG56" s="302">
        <f t="shared" si="6"/>
        <v>-8054.827067125153</v>
      </c>
      <c r="AH56" s="302">
        <f t="shared" si="6"/>
        <v>-118.15104280023988</v>
      </c>
      <c r="AI56" s="302">
        <f t="shared" si="6"/>
        <v>-1011.5988594645924</v>
      </c>
      <c r="AJ56" s="302">
        <f t="shared" si="6"/>
        <v>1549.4531330396812</v>
      </c>
      <c r="AK56" s="302">
        <f t="shared" si="6"/>
        <v>0</v>
      </c>
      <c r="AL56" s="302">
        <f t="shared" si="6"/>
        <v>0</v>
      </c>
      <c r="AM56" s="302">
        <f t="shared" si="6"/>
        <v>-1.1640804586932063E-5</v>
      </c>
    </row>
    <row r="57" spans="4:39" ht="15" thickBot="1" x14ac:dyDescent="0.35">
      <c r="D57" s="278" t="s">
        <v>77</v>
      </c>
      <c r="F57" s="303">
        <f>+'[2]1-Summary (present rev)'!$H$43</f>
        <v>3469181.8980048392</v>
      </c>
      <c r="G57" s="303">
        <f>+'[2]1-Summary (present rev)'!$I$43</f>
        <v>2182785.6245901696</v>
      </c>
      <c r="H57" s="303">
        <f>+'[2]1-Summary (present rev)'!J$43</f>
        <v>202779.0957847478</v>
      </c>
      <c r="I57" s="303">
        <f>+'[2]1-Summary (present rev)'!K$43</f>
        <v>12204.266660734691</v>
      </c>
      <c r="J57" s="303">
        <f>+'[2]1-Summary (present rev)'!L$43</f>
        <v>816791.69275236677</v>
      </c>
      <c r="K57" s="303">
        <f>+'[2]1-Summary (present rev)'!M$43</f>
        <v>10102.813744040113</v>
      </c>
      <c r="L57" s="303">
        <f>+'[2]1-Summary (present rev)'!N$43</f>
        <v>110469.80642306703</v>
      </c>
      <c r="M57" s="303">
        <f>+'[2]1-Summary (present rev)'!O$43</f>
        <v>21232.329273469208</v>
      </c>
      <c r="N57" s="303">
        <f>+'[2]1-Summary (present rev)'!P$43</f>
        <v>106876.55083489435</v>
      </c>
      <c r="O57" s="303">
        <f>+'[2]1-Summary (present rev)'!Q$43</f>
        <v>5939.7207434116463</v>
      </c>
      <c r="P57" s="302">
        <f t="shared" si="7"/>
        <v>-2.802062314003706E-3</v>
      </c>
      <c r="Q57" s="303">
        <f>'[2]MFR E-6'!$H$25</f>
        <v>3645999.3145081596</v>
      </c>
      <c r="R57" s="303">
        <f>'[2]MFR E-6'!$I$25</f>
        <v>2281979.065841075</v>
      </c>
      <c r="S57" s="303">
        <f>'[2]MFR E-6'!$J$25</f>
        <v>204310.13849974851</v>
      </c>
      <c r="T57" s="303">
        <f>'[2]MFR E-6'!$K$25</f>
        <v>13234.929759343682</v>
      </c>
      <c r="U57" s="303">
        <f>'[2]MFR E-6'!$L$25</f>
        <v>871213.84168822155</v>
      </c>
      <c r="V57" s="303">
        <f>'[2]MFR E-6'!$V$25</f>
        <v>10727.03949114965</v>
      </c>
      <c r="W57" s="303">
        <f>'[2]MFR E-6'!$U$25</f>
        <v>121808.803897244</v>
      </c>
      <c r="X57" s="303">
        <f>'[2]MFR E-6'!$N$25</f>
        <v>24594.184380325511</v>
      </c>
      <c r="Y57" s="303">
        <f>'[2]MFR E-6'!$O$25</f>
        <v>113088.54648489349</v>
      </c>
      <c r="Z57" s="303">
        <f>'[2]MFR E-6'!$P$25</f>
        <v>5042.7644777988007</v>
      </c>
      <c r="AA57" s="302">
        <f>+Q57-SUM(R57:Z57)</f>
        <v>-1.1640135198831558E-5</v>
      </c>
      <c r="AB57" s="290"/>
      <c r="AC57" s="304">
        <f>SUM(AC45:AC56)</f>
        <v>176817.41307982118</v>
      </c>
      <c r="AD57" s="304">
        <f t="shared" ref="AD57:AM57" si="9">SUM(AD45:AD56)</f>
        <v>99193.429999251195</v>
      </c>
      <c r="AE57" s="304">
        <f t="shared" si="9"/>
        <v>1531.0427150007242</v>
      </c>
      <c r="AF57" s="304">
        <f t="shared" si="9"/>
        <v>1030.6630986089892</v>
      </c>
      <c r="AG57" s="304">
        <f t="shared" si="9"/>
        <v>54422.148935854704</v>
      </c>
      <c r="AH57" s="304">
        <f t="shared" si="9"/>
        <v>624.22574710953666</v>
      </c>
      <c r="AI57" s="304">
        <f t="shared" si="9"/>
        <v>11338.997474176966</v>
      </c>
      <c r="AJ57" s="304">
        <f t="shared" si="9"/>
        <v>3361.8551068563029</v>
      </c>
      <c r="AK57" s="304">
        <f t="shared" si="9"/>
        <v>6211.9956499991385</v>
      </c>
      <c r="AL57" s="304">
        <f t="shared" si="9"/>
        <v>-896.95626561284553</v>
      </c>
      <c r="AM57" s="304">
        <f t="shared" si="9"/>
        <v>1.0618576809065416E-2</v>
      </c>
    </row>
    <row r="58" spans="4:39" ht="15" thickTop="1" x14ac:dyDescent="0.3">
      <c r="F58" s="305">
        <f>SUM(F45:F56)-F57</f>
        <v>3.4234984777867794E-3</v>
      </c>
      <c r="G58" s="305">
        <f t="shared" ref="G58:N58" si="10">SUM(G45:G56)-G57</f>
        <v>1.1251654475927353E-2</v>
      </c>
      <c r="H58" s="305">
        <f t="shared" si="10"/>
        <v>0</v>
      </c>
      <c r="I58" s="305">
        <f t="shared" si="10"/>
        <v>0</v>
      </c>
      <c r="J58" s="305">
        <f t="shared" si="10"/>
        <v>0</v>
      </c>
      <c r="K58" s="305">
        <f t="shared" si="10"/>
        <v>0</v>
      </c>
      <c r="L58" s="305">
        <f t="shared" si="10"/>
        <v>0</v>
      </c>
      <c r="M58" s="305">
        <f t="shared" si="10"/>
        <v>0</v>
      </c>
      <c r="N58" s="305">
        <f t="shared" si="10"/>
        <v>0</v>
      </c>
      <c r="O58" s="305"/>
      <c r="Q58" s="305">
        <f t="shared" ref="Q58:Y58" si="11">SUM(Q45:Q56)-Q57</f>
        <v>0</v>
      </c>
      <c r="R58" s="305">
        <f t="shared" si="11"/>
        <v>0</v>
      </c>
      <c r="S58" s="305">
        <f t="shared" si="11"/>
        <v>0</v>
      </c>
      <c r="T58" s="305">
        <f t="shared" si="11"/>
        <v>0</v>
      </c>
      <c r="U58" s="305">
        <f t="shared" si="11"/>
        <v>0</v>
      </c>
      <c r="V58" s="305">
        <f t="shared" si="11"/>
        <v>0</v>
      </c>
      <c r="W58" s="305">
        <f t="shared" si="11"/>
        <v>0</v>
      </c>
      <c r="X58" s="305">
        <f t="shared" si="11"/>
        <v>0</v>
      </c>
      <c r="Y58" s="305">
        <f t="shared" si="11"/>
        <v>0</v>
      </c>
      <c r="Z58" s="305"/>
      <c r="AB58" s="290"/>
    </row>
    <row r="59" spans="4:39" ht="18" x14ac:dyDescent="0.3">
      <c r="D59" s="300"/>
      <c r="E59" s="300">
        <v>2025</v>
      </c>
      <c r="F59" s="292"/>
      <c r="G59" s="292"/>
      <c r="H59" s="292"/>
      <c r="I59" s="292"/>
      <c r="J59" s="292"/>
      <c r="K59" s="292"/>
      <c r="M59" s="292"/>
      <c r="N59" s="292"/>
      <c r="O59" s="292"/>
      <c r="Q59" s="292"/>
      <c r="R59" s="292"/>
      <c r="S59" s="292"/>
      <c r="T59" s="292"/>
      <c r="U59" s="292"/>
      <c r="V59" s="292"/>
      <c r="X59" s="292"/>
      <c r="Y59" s="292"/>
      <c r="AB59" s="290"/>
    </row>
    <row r="60" spans="4:39" x14ac:dyDescent="0.3">
      <c r="D60" s="89" t="s">
        <v>285</v>
      </c>
      <c r="F60" s="301">
        <f>'[3]MFR E-6'!$AD$12</f>
        <v>1269822.5835055418</v>
      </c>
      <c r="G60" s="301">
        <f>'[3]MFR E-6'!$AE$12</f>
        <v>765131.6089354821</v>
      </c>
      <c r="H60" s="301">
        <f>'[3]MFR E-6'!$AF$12</f>
        <v>69179.934349381932</v>
      </c>
      <c r="I60" s="301">
        <f>'[3]MFR E-6'!$AG$12</f>
        <v>4863.4204948262268</v>
      </c>
      <c r="J60" s="301">
        <f>'[3]MFR E-6'!$AH$12</f>
        <v>364489.87436943076</v>
      </c>
      <c r="K60" s="301">
        <f>'[3]MFR E-6'!$AQ$12</f>
        <v>4355.4914614240097</v>
      </c>
      <c r="L60" s="301">
        <f>'[3]MFR E-6'!$AR$12</f>
        <v>58792.785616306595</v>
      </c>
      <c r="M60" s="301">
        <f>'[3]MFR E-6'!$AJ$12</f>
        <v>3009.4795229081337</v>
      </c>
      <c r="N60" s="301">
        <f>'[3]MFR E-6'!$AK$12</f>
        <v>0</v>
      </c>
      <c r="O60" s="301">
        <f>'[3]MFR E-6'!$AL$12</f>
        <v>0</v>
      </c>
      <c r="P60" s="302">
        <f>+F60-SUM(G60:O60)</f>
        <v>-1.1244217865169048E-2</v>
      </c>
      <c r="Q60" s="301">
        <f>'[3]MFR E-6'!$H$12</f>
        <v>1314075.327860696</v>
      </c>
      <c r="R60" s="301">
        <f>'[3]MFR E-6'!$I$12</f>
        <v>791796.08880246244</v>
      </c>
      <c r="S60" s="301">
        <f>'[3]MFR E-6'!$J$12</f>
        <v>71590.823861850717</v>
      </c>
      <c r="T60" s="301">
        <f>'[3]MFR E-6'!$K$12</f>
        <v>5032.9085057064676</v>
      </c>
      <c r="U60" s="301">
        <f>'[3]MFR E-6'!$L$12</f>
        <v>377192.18210913421</v>
      </c>
      <c r="V60" s="301">
        <f>'[3]MFR E-6'!$V$12</f>
        <v>4507.2783745621882</v>
      </c>
      <c r="W60" s="301">
        <f>'[3]MFR E-6'!$U$12</f>
        <v>60841.687679950242</v>
      </c>
      <c r="X60" s="301">
        <f>'[3]MFR E-6'!$N$12</f>
        <v>3114.358527029849</v>
      </c>
      <c r="Y60" s="301">
        <f>'[3]MFR E-6'!$O$12</f>
        <v>0</v>
      </c>
      <c r="Z60" s="301">
        <f>'[3]MFR E-6'!$P$12</f>
        <v>0</v>
      </c>
      <c r="AA60" s="302">
        <f>+Q60-SUM(R60:Z60)</f>
        <v>0</v>
      </c>
      <c r="AB60" s="290"/>
      <c r="AC60" s="302">
        <f t="shared" ref="AC60:AM71" si="12">Q60-F60</f>
        <v>44252.744355154224</v>
      </c>
      <c r="AD60" s="302">
        <f t="shared" si="12"/>
        <v>26664.479866980342</v>
      </c>
      <c r="AE60" s="302">
        <f t="shared" si="12"/>
        <v>2410.8895124687842</v>
      </c>
      <c r="AF60" s="302">
        <f t="shared" si="12"/>
        <v>169.48801088024084</v>
      </c>
      <c r="AG60" s="302">
        <f t="shared" si="12"/>
        <v>12702.30773970345</v>
      </c>
      <c r="AH60" s="302">
        <f t="shared" si="12"/>
        <v>151.78691313817853</v>
      </c>
      <c r="AI60" s="302">
        <f t="shared" si="12"/>
        <v>2048.9020636436471</v>
      </c>
      <c r="AJ60" s="302">
        <f t="shared" si="12"/>
        <v>104.8790041217153</v>
      </c>
      <c r="AK60" s="302">
        <f t="shared" si="12"/>
        <v>0</v>
      </c>
      <c r="AL60" s="302">
        <f t="shared" si="12"/>
        <v>0</v>
      </c>
      <c r="AM60" s="302">
        <f t="shared" si="12"/>
        <v>1.1244217865169048E-2</v>
      </c>
    </row>
    <row r="61" spans="4:39" x14ac:dyDescent="0.3">
      <c r="D61" s="89" t="s">
        <v>63</v>
      </c>
      <c r="F61" s="301">
        <f>'[3]MFR E-6'!$AD$13</f>
        <v>231493.02467983344</v>
      </c>
      <c r="G61" s="301">
        <f>'[3]MFR E-6'!$AE$13</f>
        <v>146377.1202595332</v>
      </c>
      <c r="H61" s="301">
        <f>'[3]MFR E-6'!$AF$13</f>
        <v>17726.794036524239</v>
      </c>
      <c r="I61" s="301">
        <f>'[3]MFR E-6'!$AG$13</f>
        <v>943.79560747798814</v>
      </c>
      <c r="J61" s="301">
        <f>'[3]MFR E-6'!$AH$13</f>
        <v>55846.652522411125</v>
      </c>
      <c r="K61" s="301">
        <f>'[3]MFR E-6'!$AQ$13</f>
        <v>913.98901821253139</v>
      </c>
      <c r="L61" s="301">
        <f>'[3]MFR E-6'!$AR$13</f>
        <v>7501.7392462598964</v>
      </c>
      <c r="M61" s="301">
        <f>'[3]MFR E-6'!$AJ$13</f>
        <v>2182.9333421607871</v>
      </c>
      <c r="N61" s="301">
        <f>'[3]MFR E-6'!$AK$13</f>
        <v>0</v>
      </c>
      <c r="O61" s="301">
        <f>'[3]MFR E-6'!$AL$13</f>
        <v>0</v>
      </c>
      <c r="P61" s="302">
        <f t="shared" ref="P61:P72" si="13">+F61-SUM(G61:O61)</f>
        <v>6.4725370611995459E-4</v>
      </c>
      <c r="Q61" s="301">
        <f>'[3]MFR E-6'!$H$13</f>
        <v>241155.83017085263</v>
      </c>
      <c r="R61" s="301">
        <f>'[3]MFR E-6'!$I$13</f>
        <v>127394.40526245415</v>
      </c>
      <c r="S61" s="301">
        <f>'[3]MFR E-6'!$J$13</f>
        <v>13398.764967986119</v>
      </c>
      <c r="T61" s="301">
        <f>'[3]MFR E-6'!$K$13</f>
        <v>1271.089076353079</v>
      </c>
      <c r="U61" s="301">
        <f>'[3]MFR E-6'!$L$13</f>
        <v>80351.089632444069</v>
      </c>
      <c r="V61" s="301">
        <f>'[3]MFR E-6'!$V$13</f>
        <v>1235.3756261473575</v>
      </c>
      <c r="W61" s="301">
        <f>'[3]MFR E-6'!$U$13</f>
        <v>15471.033547816478</v>
      </c>
      <c r="X61" s="301">
        <f>'[3]MFR E-6'!$N$13</f>
        <v>2034.0720576513838</v>
      </c>
      <c r="Y61" s="301">
        <f>'[3]MFR E-6'!$O$13</f>
        <v>0</v>
      </c>
      <c r="Z61" s="301">
        <f>'[3]MFR E-6'!$P$13</f>
        <v>0</v>
      </c>
      <c r="AA61" s="302">
        <f t="shared" ref="AA61:AA71" si="14">+Q61-SUM(R61:Z61)</f>
        <v>0</v>
      </c>
      <c r="AB61" s="290"/>
      <c r="AC61" s="302">
        <f t="shared" si="12"/>
        <v>9662.8054910191859</v>
      </c>
      <c r="AD61" s="302">
        <f t="shared" si="12"/>
        <v>-18982.714997079049</v>
      </c>
      <c r="AE61" s="302">
        <f t="shared" si="12"/>
        <v>-4328.0290685381206</v>
      </c>
      <c r="AF61" s="302">
        <f t="shared" si="12"/>
        <v>327.29346887509087</v>
      </c>
      <c r="AG61" s="302">
        <f t="shared" si="12"/>
        <v>24504.437110032944</v>
      </c>
      <c r="AH61" s="302">
        <f t="shared" si="12"/>
        <v>321.38660793482609</v>
      </c>
      <c r="AI61" s="302">
        <f t="shared" si="12"/>
        <v>7969.2943015565816</v>
      </c>
      <c r="AJ61" s="302">
        <f t="shared" si="12"/>
        <v>-148.86128450940328</v>
      </c>
      <c r="AK61" s="302">
        <f t="shared" si="12"/>
        <v>0</v>
      </c>
      <c r="AL61" s="302">
        <f t="shared" si="12"/>
        <v>0</v>
      </c>
      <c r="AM61" s="302">
        <f t="shared" si="12"/>
        <v>-6.4725370611995459E-4</v>
      </c>
    </row>
    <row r="62" spans="4:39" x14ac:dyDescent="0.3">
      <c r="D62" s="89" t="s">
        <v>64</v>
      </c>
      <c r="F62" s="301">
        <f>'[3]MFR E-6'!$AD$14</f>
        <v>498342.78542946064</v>
      </c>
      <c r="G62" s="301">
        <f>'[3]MFR E-6'!$AE$14</f>
        <v>316635.79285433213</v>
      </c>
      <c r="H62" s="301">
        <f>'[3]MFR E-6'!$AF$14</f>
        <v>28602.787749221796</v>
      </c>
      <c r="I62" s="301">
        <f>'[3]MFR E-6'!$AG$14</f>
        <v>1652.8392885132428</v>
      </c>
      <c r="J62" s="301">
        <f>'[3]MFR E-6'!$AH$14</f>
        <v>130827.97125955047</v>
      </c>
      <c r="K62" s="301">
        <f>'[3]MFR E-6'!$AQ$14</f>
        <v>1425.9548998999128</v>
      </c>
      <c r="L62" s="301">
        <f>'[3]MFR E-6'!$AR$14</f>
        <v>18637.922323277893</v>
      </c>
      <c r="M62" s="301">
        <f>'[3]MFR E-6'!$AJ$14</f>
        <v>559.51705466514056</v>
      </c>
      <c r="N62" s="301">
        <f>'[3]MFR E-6'!$AK$14</f>
        <v>0</v>
      </c>
      <c r="O62" s="301">
        <f>'[3]MFR E-6'!$AL$14</f>
        <v>0</v>
      </c>
      <c r="P62" s="302">
        <f t="shared" si="13"/>
        <v>0</v>
      </c>
      <c r="Q62" s="301">
        <f>'[3]MFR E-6'!$H$14</f>
        <v>528886.55077917245</v>
      </c>
      <c r="R62" s="301">
        <f>'[3]MFR E-6'!$I$14</f>
        <v>331778.28634263831</v>
      </c>
      <c r="S62" s="301">
        <f>'[3]MFR E-6'!$J$14</f>
        <v>28619.602226045063</v>
      </c>
      <c r="T62" s="301">
        <f>'[3]MFR E-6'!$K$14</f>
        <v>1770.9445711444391</v>
      </c>
      <c r="U62" s="301">
        <f>'[3]MFR E-6'!$L$14</f>
        <v>143674.10153288679</v>
      </c>
      <c r="V62" s="301">
        <f>'[3]MFR E-6'!$V$14</f>
        <v>1514.9043921837972</v>
      </c>
      <c r="W62" s="301">
        <f>'[3]MFR E-6'!$U$14</f>
        <v>21343.793807246835</v>
      </c>
      <c r="X62" s="301">
        <f>'[3]MFR E-6'!$N$14</f>
        <v>184.91790702713018</v>
      </c>
      <c r="Y62" s="301">
        <f>'[3]MFR E-6'!$O$14</f>
        <v>0</v>
      </c>
      <c r="Z62" s="301">
        <f>'[3]MFR E-6'!$P$14</f>
        <v>0</v>
      </c>
      <c r="AA62" s="302">
        <f t="shared" si="14"/>
        <v>0</v>
      </c>
      <c r="AB62" s="290"/>
      <c r="AC62" s="302">
        <f t="shared" si="12"/>
        <v>30543.765349711815</v>
      </c>
      <c r="AD62" s="302">
        <f t="shared" si="12"/>
        <v>15142.49348830618</v>
      </c>
      <c r="AE62" s="302">
        <f t="shared" si="12"/>
        <v>16.814476823266887</v>
      </c>
      <c r="AF62" s="302">
        <f t="shared" si="12"/>
        <v>118.10528263119636</v>
      </c>
      <c r="AG62" s="302">
        <f t="shared" si="12"/>
        <v>12846.130273336326</v>
      </c>
      <c r="AH62" s="302">
        <f t="shared" si="12"/>
        <v>88.94949228388441</v>
      </c>
      <c r="AI62" s="302">
        <f t="shared" si="12"/>
        <v>2705.8714839689419</v>
      </c>
      <c r="AJ62" s="302">
        <f t="shared" si="12"/>
        <v>-374.59914763801038</v>
      </c>
      <c r="AK62" s="302">
        <f t="shared" si="12"/>
        <v>0</v>
      </c>
      <c r="AL62" s="302">
        <f t="shared" si="12"/>
        <v>0</v>
      </c>
      <c r="AM62" s="302">
        <f t="shared" si="12"/>
        <v>0</v>
      </c>
    </row>
    <row r="63" spans="4:39" x14ac:dyDescent="0.3">
      <c r="D63" s="89" t="s">
        <v>65</v>
      </c>
      <c r="F63" s="301">
        <f>'[3]MFR E-6'!$AD$15</f>
        <v>655334.02811059321</v>
      </c>
      <c r="G63" s="301">
        <f>'[3]MFR E-6'!$AE$15</f>
        <v>423295.27675026871</v>
      </c>
      <c r="H63" s="301">
        <f>'[3]MFR E-6'!$AF$15</f>
        <v>40112.324300610402</v>
      </c>
      <c r="I63" s="301">
        <f>'[3]MFR E-6'!$AG$15</f>
        <v>1841.3097985594386</v>
      </c>
      <c r="J63" s="301">
        <f>'[3]MFR E-6'!$AH$15</f>
        <v>166382.54197585006</v>
      </c>
      <c r="K63" s="301">
        <f>'[3]MFR E-6'!$AQ$15</f>
        <v>2557.0825331135397</v>
      </c>
      <c r="L63" s="301">
        <f>'[3]MFR E-6'!$AR$15</f>
        <v>15896.808664913829</v>
      </c>
      <c r="M63" s="301">
        <f>'[3]MFR E-6'!$AJ$15</f>
        <v>5248.6840872770745</v>
      </c>
      <c r="N63" s="301">
        <f>'[3]MFR E-6'!$AK$15</f>
        <v>0</v>
      </c>
      <c r="O63" s="301">
        <f>'[3]MFR E-6'!$AL$15</f>
        <v>0</v>
      </c>
      <c r="P63" s="302">
        <f t="shared" si="13"/>
        <v>0</v>
      </c>
      <c r="Q63" s="301">
        <f>'[3]MFR E-6'!$H$15</f>
        <v>695677.19366943289</v>
      </c>
      <c r="R63" s="301">
        <f>'[3]MFR E-6'!$I$15</f>
        <v>445672.34087781241</v>
      </c>
      <c r="S63" s="301">
        <f>'[3]MFR E-6'!$J$15</f>
        <v>40995.195628037189</v>
      </c>
      <c r="T63" s="301">
        <f>'[3]MFR E-6'!$K$15</f>
        <v>1884.4016450768431</v>
      </c>
      <c r="U63" s="301">
        <f>'[3]MFR E-6'!$L$15</f>
        <v>181394.47000340093</v>
      </c>
      <c r="V63" s="301">
        <f>'[3]MFR E-6'!$V$15</f>
        <v>2906.0651875883846</v>
      </c>
      <c r="W63" s="301">
        <f>'[3]MFR E-6'!$U$15</f>
        <v>16535.813632501617</v>
      </c>
      <c r="X63" s="301">
        <f>'[3]MFR E-6'!$N$15</f>
        <v>6288.9066950154875</v>
      </c>
      <c r="Y63" s="301">
        <f>'[3]MFR E-6'!$O$15</f>
        <v>0</v>
      </c>
      <c r="Z63" s="301">
        <f>'[3]MFR E-6'!$P$15</f>
        <v>0</v>
      </c>
      <c r="AA63" s="302">
        <f t="shared" si="14"/>
        <v>0</v>
      </c>
      <c r="AB63" s="290"/>
      <c r="AC63" s="302">
        <f t="shared" si="12"/>
        <v>40343.165558839682</v>
      </c>
      <c r="AD63" s="302">
        <f t="shared" si="12"/>
        <v>22377.064127543708</v>
      </c>
      <c r="AE63" s="302">
        <f t="shared" si="12"/>
        <v>882.87132742678659</v>
      </c>
      <c r="AF63" s="302">
        <f t="shared" si="12"/>
        <v>43.09184651740452</v>
      </c>
      <c r="AG63" s="302">
        <f t="shared" si="12"/>
        <v>15011.928027550864</v>
      </c>
      <c r="AH63" s="302">
        <f t="shared" si="12"/>
        <v>348.98265447484482</v>
      </c>
      <c r="AI63" s="302">
        <f t="shared" si="12"/>
        <v>639.00496758778718</v>
      </c>
      <c r="AJ63" s="302">
        <f t="shared" si="12"/>
        <v>1040.222607738413</v>
      </c>
      <c r="AK63" s="302">
        <f t="shared" si="12"/>
        <v>0</v>
      </c>
      <c r="AL63" s="302">
        <f t="shared" si="12"/>
        <v>0</v>
      </c>
      <c r="AM63" s="302">
        <f t="shared" si="12"/>
        <v>0</v>
      </c>
    </row>
    <row r="64" spans="4:39" x14ac:dyDescent="0.3">
      <c r="D64" s="89" t="s">
        <v>66</v>
      </c>
      <c r="F64" s="301">
        <f>'[3]MFR E-6'!$AD$16</f>
        <v>0</v>
      </c>
      <c r="G64" s="301">
        <f>'[3]MFR E-6'!$AE$16</f>
        <v>0</v>
      </c>
      <c r="H64" s="301">
        <f>'[3]MFR E-6'!$AF$16</f>
        <v>0</v>
      </c>
      <c r="I64" s="301">
        <f>'[3]MFR E-6'!$AG$16</f>
        <v>0</v>
      </c>
      <c r="J64" s="301">
        <f>'[3]MFR E-6'!$AH$16</f>
        <v>0</v>
      </c>
      <c r="K64" s="301">
        <f>'[3]MFR E-6'!$AQ$16</f>
        <v>0</v>
      </c>
      <c r="L64" s="301">
        <f>'[3]MFR E-6'!$AR$16</f>
        <v>0</v>
      </c>
      <c r="M64" s="301">
        <f>'[3]MFR E-6'!$AJ$16</f>
        <v>0</v>
      </c>
      <c r="N64" s="301">
        <f>'[3]MFR E-6'!$AK$16</f>
        <v>0</v>
      </c>
      <c r="O64" s="301">
        <f>'[3]MFR E-6'!$AL$16</f>
        <v>0</v>
      </c>
      <c r="P64" s="302">
        <f t="shared" si="13"/>
        <v>0</v>
      </c>
      <c r="Q64" s="301">
        <f>'[3]MFR E-6'!$H$16</f>
        <v>0</v>
      </c>
      <c r="R64" s="301">
        <f>'[3]MFR E-6'!$I$16</f>
        <v>0</v>
      </c>
      <c r="S64" s="301">
        <f>'[3]MFR E-6'!$J$16</f>
        <v>0</v>
      </c>
      <c r="T64" s="301">
        <f>'[3]MFR E-6'!$K$16</f>
        <v>0</v>
      </c>
      <c r="U64" s="301">
        <f>'[3]MFR E-6'!$L$16</f>
        <v>0</v>
      </c>
      <c r="V64" s="301">
        <f>'[3]MFR E-6'!$V$16</f>
        <v>0</v>
      </c>
      <c r="W64" s="301">
        <f>'[3]MFR E-6'!$U$16</f>
        <v>0</v>
      </c>
      <c r="X64" s="301">
        <f>'[3]MFR E-6'!$N$16</f>
        <v>0</v>
      </c>
      <c r="Y64" s="301">
        <f>'[3]MFR E-6'!$O$16</f>
        <v>0</v>
      </c>
      <c r="Z64" s="301">
        <f>'[3]MFR E-6'!$P$16</f>
        <v>0</v>
      </c>
      <c r="AA64" s="302">
        <f t="shared" si="14"/>
        <v>0</v>
      </c>
      <c r="AB64" s="290"/>
      <c r="AC64" s="302">
        <f t="shared" si="12"/>
        <v>0</v>
      </c>
      <c r="AD64" s="302">
        <f t="shared" si="12"/>
        <v>0</v>
      </c>
      <c r="AE64" s="302">
        <f t="shared" si="12"/>
        <v>0</v>
      </c>
      <c r="AF64" s="302">
        <f t="shared" si="12"/>
        <v>0</v>
      </c>
      <c r="AG64" s="302">
        <f t="shared" si="12"/>
        <v>0</v>
      </c>
      <c r="AH64" s="302">
        <f t="shared" si="12"/>
        <v>0</v>
      </c>
      <c r="AI64" s="302">
        <f t="shared" si="12"/>
        <v>0</v>
      </c>
      <c r="AJ64" s="302">
        <f t="shared" si="12"/>
        <v>0</v>
      </c>
      <c r="AK64" s="302">
        <f t="shared" si="12"/>
        <v>0</v>
      </c>
      <c r="AL64" s="302">
        <f t="shared" si="12"/>
        <v>0</v>
      </c>
      <c r="AM64" s="302">
        <f t="shared" si="12"/>
        <v>0</v>
      </c>
    </row>
    <row r="65" spans="2:39" x14ac:dyDescent="0.3">
      <c r="D65" s="89" t="s">
        <v>68</v>
      </c>
      <c r="F65" s="301">
        <f>'[3]MFR E-6'!$AD$17</f>
        <v>269421.87781901477</v>
      </c>
      <c r="G65" s="301">
        <f>'[3]MFR E-6'!$AE$17</f>
        <v>199214.95178887981</v>
      </c>
      <c r="H65" s="301">
        <f>'[3]MFR E-6'!$AF$17</f>
        <v>17630.846949121955</v>
      </c>
      <c r="I65" s="301">
        <f>'[3]MFR E-6'!$AG$17</f>
        <v>460.42404834418301</v>
      </c>
      <c r="J65" s="301">
        <f>'[3]MFR E-6'!$AH$17</f>
        <v>43427.313046918076</v>
      </c>
      <c r="K65" s="301">
        <f>'[3]MFR E-6'!$AQ$17</f>
        <v>163.93436811668732</v>
      </c>
      <c r="L65" s="301">
        <f>'[3]MFR E-6'!$AR$17</f>
        <v>2424.5647409966236</v>
      </c>
      <c r="M65" s="301">
        <f>'[3]MFR E-6'!$AJ$17</f>
        <v>1157.4221646361007</v>
      </c>
      <c r="N65" s="301">
        <f>'[3]MFR E-6'!$AK$17</f>
        <v>0</v>
      </c>
      <c r="O65" s="301">
        <f>'[3]MFR E-6'!$AL$17</f>
        <v>4942.4207120013889</v>
      </c>
      <c r="P65" s="302">
        <f t="shared" si="13"/>
        <v>0</v>
      </c>
      <c r="Q65" s="301">
        <f>'[3]MFR E-6'!$H$17</f>
        <v>281799.69422418921</v>
      </c>
      <c r="R65" s="301">
        <f>'[3]MFR E-6'!$I$17</f>
        <v>215526.06783422161</v>
      </c>
      <c r="S65" s="301">
        <f>'[3]MFR E-6'!$J$17</f>
        <v>18229.609410821056</v>
      </c>
      <c r="T65" s="301">
        <f>'[3]MFR E-6'!$K$17</f>
        <v>370.54471373832189</v>
      </c>
      <c r="U65" s="301">
        <f>'[3]MFR E-6'!$L$17</f>
        <v>40627.474818353119</v>
      </c>
      <c r="V65" s="301">
        <f>'[3]MFR E-6'!$V$17</f>
        <v>0</v>
      </c>
      <c r="W65" s="301">
        <f>'[3]MFR E-6'!$U$17</f>
        <v>1235.1490457944067</v>
      </c>
      <c r="X65" s="301">
        <f>'[3]MFR E-6'!$N$17</f>
        <v>1236.6371771748816</v>
      </c>
      <c r="Y65" s="301">
        <f>'[3]MFR E-6'!$O$17</f>
        <v>0</v>
      </c>
      <c r="Z65" s="301">
        <f>'[3]MFR E-6'!$P$17</f>
        <v>4574.2112240859133</v>
      </c>
      <c r="AA65" s="302">
        <f t="shared" si="14"/>
        <v>0</v>
      </c>
      <c r="AB65" s="290"/>
      <c r="AC65" s="302">
        <f t="shared" si="12"/>
        <v>12377.816405174439</v>
      </c>
      <c r="AD65" s="302">
        <f t="shared" si="12"/>
        <v>16311.116045341798</v>
      </c>
      <c r="AE65" s="302">
        <f t="shared" si="12"/>
        <v>598.76246169910155</v>
      </c>
      <c r="AF65" s="302">
        <f t="shared" si="12"/>
        <v>-89.879334605861118</v>
      </c>
      <c r="AG65" s="302">
        <f t="shared" si="12"/>
        <v>-2799.8382285649568</v>
      </c>
      <c r="AH65" s="302">
        <f t="shared" si="12"/>
        <v>-163.93436811668732</v>
      </c>
      <c r="AI65" s="302">
        <f t="shared" si="12"/>
        <v>-1189.415695202217</v>
      </c>
      <c r="AJ65" s="302">
        <f t="shared" si="12"/>
        <v>79.215012538780911</v>
      </c>
      <c r="AK65" s="302">
        <f t="shared" si="12"/>
        <v>0</v>
      </c>
      <c r="AL65" s="302">
        <f t="shared" si="12"/>
        <v>-368.20948791547562</v>
      </c>
      <c r="AM65" s="302">
        <f t="shared" si="12"/>
        <v>0</v>
      </c>
    </row>
    <row r="66" spans="2:39" x14ac:dyDescent="0.3">
      <c r="D66" s="89" t="s">
        <v>286</v>
      </c>
      <c r="F66" s="301">
        <f>'[3]MFR E-6'!$AD$18</f>
        <v>0</v>
      </c>
      <c r="G66" s="301">
        <f>'[3]MFR E-6'!$AE$18</f>
        <v>0</v>
      </c>
      <c r="H66" s="301">
        <f>'[3]MFR E-6'!$AF$18</f>
        <v>0</v>
      </c>
      <c r="I66" s="301">
        <f>'[3]MFR E-6'!$AG$18</f>
        <v>0</v>
      </c>
      <c r="J66" s="301">
        <f>'[3]MFR E-6'!$AH$18</f>
        <v>0</v>
      </c>
      <c r="K66" s="301">
        <f>'[3]MFR E-6'!$AQ$18</f>
        <v>0</v>
      </c>
      <c r="L66" s="301">
        <f>'[3]MFR E-6'!$AR$18</f>
        <v>0</v>
      </c>
      <c r="M66" s="301">
        <f>'[3]MFR E-6'!$AJ$18</f>
        <v>0</v>
      </c>
      <c r="N66" s="301">
        <f>'[3]MFR E-6'!$AK$18</f>
        <v>0</v>
      </c>
      <c r="O66" s="301">
        <f>'[3]MFR E-6'!$AL$18</f>
        <v>0</v>
      </c>
      <c r="P66" s="302">
        <f t="shared" si="13"/>
        <v>0</v>
      </c>
      <c r="Q66" s="301">
        <f>'[3]MFR E-6'!$H$18</f>
        <v>0</v>
      </c>
      <c r="R66" s="301">
        <f>'[3]MFR E-6'!$I$18</f>
        <v>0</v>
      </c>
      <c r="S66" s="301">
        <f>'[3]MFR E-6'!$J$18</f>
        <v>0</v>
      </c>
      <c r="T66" s="301">
        <f>'[3]MFR E-6'!$K$18</f>
        <v>0</v>
      </c>
      <c r="U66" s="301">
        <f>'[3]MFR E-6'!$L$18</f>
        <v>0</v>
      </c>
      <c r="V66" s="301">
        <f>'[3]MFR E-6'!$V$18</f>
        <v>0</v>
      </c>
      <c r="W66" s="301">
        <f>'[3]MFR E-6'!$U$18</f>
        <v>0</v>
      </c>
      <c r="X66" s="301">
        <f>'[3]MFR E-6'!$N$18</f>
        <v>0</v>
      </c>
      <c r="Y66" s="301">
        <f>'[3]MFR E-6'!$O$18</f>
        <v>0</v>
      </c>
      <c r="Z66" s="301">
        <f>'[3]MFR E-6'!$P$18</f>
        <v>0</v>
      </c>
      <c r="AA66" s="302">
        <f t="shared" si="14"/>
        <v>0</v>
      </c>
      <c r="AB66" s="290"/>
      <c r="AC66" s="302">
        <f t="shared" si="12"/>
        <v>0</v>
      </c>
      <c r="AD66" s="302">
        <f t="shared" si="12"/>
        <v>0</v>
      </c>
      <c r="AE66" s="302">
        <f t="shared" si="12"/>
        <v>0</v>
      </c>
      <c r="AF66" s="302">
        <f t="shared" si="12"/>
        <v>0</v>
      </c>
      <c r="AG66" s="302">
        <f t="shared" si="12"/>
        <v>0</v>
      </c>
      <c r="AH66" s="302">
        <f t="shared" si="12"/>
        <v>0</v>
      </c>
      <c r="AI66" s="302">
        <f t="shared" si="12"/>
        <v>0</v>
      </c>
      <c r="AJ66" s="302">
        <f t="shared" si="12"/>
        <v>0</v>
      </c>
      <c r="AK66" s="302">
        <f t="shared" si="12"/>
        <v>0</v>
      </c>
      <c r="AL66" s="302">
        <f t="shared" si="12"/>
        <v>0</v>
      </c>
      <c r="AM66" s="302">
        <f t="shared" si="12"/>
        <v>0</v>
      </c>
    </row>
    <row r="67" spans="2:39" x14ac:dyDescent="0.3">
      <c r="D67" s="89" t="s">
        <v>70</v>
      </c>
      <c r="F67" s="301">
        <f>'[3]MFR E-6'!$AD$19</f>
        <v>55397.266023121891</v>
      </c>
      <c r="G67" s="301">
        <f>'[3]MFR E-6'!$AE$19</f>
        <v>44834.439695168585</v>
      </c>
      <c r="H67" s="301">
        <f>'[3]MFR E-6'!$AF$19</f>
        <v>3651.7287090011323</v>
      </c>
      <c r="I67" s="301">
        <f>'[3]MFR E-6'!$AG$19</f>
        <v>332.82480092359231</v>
      </c>
      <c r="J67" s="301">
        <f>'[3]MFR E-6'!$AH$19</f>
        <v>4800.0614431898684</v>
      </c>
      <c r="K67" s="301">
        <f>'[3]MFR E-6'!$AQ$19</f>
        <v>48.743087139477325</v>
      </c>
      <c r="L67" s="301">
        <f>'[3]MFR E-6'!$AR$19</f>
        <v>447.91370007594384</v>
      </c>
      <c r="M67" s="301">
        <f>'[3]MFR E-6'!$AJ$19</f>
        <v>1281.5545876232909</v>
      </c>
      <c r="N67" s="301">
        <f>'[3]MFR E-6'!$AK$19</f>
        <v>0</v>
      </c>
      <c r="O67" s="301">
        <f>'[3]MFR E-6'!$AL$19</f>
        <v>0</v>
      </c>
      <c r="P67" s="302">
        <f t="shared" si="13"/>
        <v>0</v>
      </c>
      <c r="Q67" s="301">
        <f>'[3]MFR E-6'!$H$19</f>
        <v>51301.751040449162</v>
      </c>
      <c r="R67" s="301">
        <f>'[3]MFR E-6'!$I$19</f>
        <v>44799.265783933712</v>
      </c>
      <c r="S67" s="301">
        <f>'[3]MFR E-6'!$J$19</f>
        <v>3290.1380766195225</v>
      </c>
      <c r="T67" s="301">
        <f>'[3]MFR E-6'!$K$19</f>
        <v>372.63224898795318</v>
      </c>
      <c r="U67" s="301">
        <f>'[3]MFR E-6'!$L$19</f>
        <v>1214.6134910007845</v>
      </c>
      <c r="V67" s="301">
        <f>'[3]MFR E-6'!$V$19</f>
        <v>1.4077060490182747E-2</v>
      </c>
      <c r="W67" s="301">
        <f>'[3]MFR E-6'!$U$19</f>
        <v>1.7117648907389393</v>
      </c>
      <c r="X67" s="301">
        <f>'[3]MFR E-6'!$N$19</f>
        <v>1623.375597955971</v>
      </c>
      <c r="Y67" s="301">
        <f>'[3]MFR E-6'!$O$19</f>
        <v>0</v>
      </c>
      <c r="Z67" s="301">
        <f>'[3]MFR E-6'!$P$19</f>
        <v>0</v>
      </c>
      <c r="AA67" s="302">
        <f t="shared" si="14"/>
        <v>0</v>
      </c>
      <c r="AB67" s="290"/>
      <c r="AC67" s="302">
        <f t="shared" si="12"/>
        <v>-4095.5149826727284</v>
      </c>
      <c r="AD67" s="302">
        <f t="shared" si="12"/>
        <v>-35.173911234873231</v>
      </c>
      <c r="AE67" s="302">
        <f t="shared" si="12"/>
        <v>-361.59063238160979</v>
      </c>
      <c r="AF67" s="302">
        <f t="shared" si="12"/>
        <v>39.807448064360869</v>
      </c>
      <c r="AG67" s="302">
        <f t="shared" si="12"/>
        <v>-3585.4479521890839</v>
      </c>
      <c r="AH67" s="302">
        <f t="shared" si="12"/>
        <v>-48.729010078987145</v>
      </c>
      <c r="AI67" s="302">
        <f t="shared" si="12"/>
        <v>-446.20193518520489</v>
      </c>
      <c r="AJ67" s="302">
        <f t="shared" si="12"/>
        <v>341.82101033268009</v>
      </c>
      <c r="AK67" s="302">
        <f t="shared" si="12"/>
        <v>0</v>
      </c>
      <c r="AL67" s="302">
        <f t="shared" si="12"/>
        <v>0</v>
      </c>
      <c r="AM67" s="302">
        <f t="shared" si="12"/>
        <v>0</v>
      </c>
    </row>
    <row r="68" spans="2:39" x14ac:dyDescent="0.3">
      <c r="D68" s="89" t="s">
        <v>71</v>
      </c>
      <c r="F68" s="301">
        <f>'[3]MFR E-6'!$AD$20</f>
        <v>77224.390171754145</v>
      </c>
      <c r="G68" s="301">
        <f>'[3]MFR E-6'!$AE$20</f>
        <v>59892.383617809333</v>
      </c>
      <c r="H68" s="301">
        <f>'[3]MFR E-6'!$AF$20</f>
        <v>6172.7432283423313</v>
      </c>
      <c r="I68" s="301">
        <f>'[3]MFR E-6'!$AG$20</f>
        <v>480.83127164696367</v>
      </c>
      <c r="J68" s="301">
        <f>'[3]MFR E-6'!$AH$20</f>
        <v>8007.6634415030649</v>
      </c>
      <c r="K68" s="301">
        <f>'[3]MFR E-6'!$AQ$20</f>
        <v>62.707936626926092</v>
      </c>
      <c r="L68" s="301">
        <f>'[3]MFR E-6'!$AR$20</f>
        <v>552.97853379349942</v>
      </c>
      <c r="M68" s="301">
        <f>'[3]MFR E-6'!$AJ$20</f>
        <v>2055.0821420320322</v>
      </c>
      <c r="N68" s="301">
        <f>'[3]MFR E-6'!$AK$20</f>
        <v>0</v>
      </c>
      <c r="O68" s="301">
        <f>'[3]MFR E-6'!$AL$20</f>
        <v>0</v>
      </c>
      <c r="P68" s="302">
        <f t="shared" si="13"/>
        <v>0</v>
      </c>
      <c r="Q68" s="301">
        <f>'[3]MFR E-6'!$H$20</f>
        <v>81063.294142454426</v>
      </c>
      <c r="R68" s="301">
        <f>'[3]MFR E-6'!$I$20</f>
        <v>65318.507578206263</v>
      </c>
      <c r="S68" s="301">
        <f>'[3]MFR E-6'!$J$20</f>
        <v>6703.6774827859354</v>
      </c>
      <c r="T68" s="301">
        <f>'[3]MFR E-6'!$K$20</f>
        <v>572.56131181926389</v>
      </c>
      <c r="U68" s="301">
        <f>'[3]MFR E-6'!$L$20</f>
        <v>5630.5478356435406</v>
      </c>
      <c r="V68" s="301">
        <f>'[3]MFR E-6'!$V$20</f>
        <v>20.214053441579008</v>
      </c>
      <c r="W68" s="301">
        <f>'[3]MFR E-6'!$U$20</f>
        <v>156.13934073642764</v>
      </c>
      <c r="X68" s="301">
        <f>'[3]MFR E-6'!$N$20</f>
        <v>2661.64653982143</v>
      </c>
      <c r="Y68" s="301">
        <f>'[3]MFR E-6'!$O$20</f>
        <v>0</v>
      </c>
      <c r="Z68" s="301">
        <f>'[3]MFR E-6'!$P$20</f>
        <v>0</v>
      </c>
      <c r="AA68" s="302">
        <f t="shared" si="14"/>
        <v>0</v>
      </c>
      <c r="AB68" s="290"/>
      <c r="AC68" s="302">
        <f t="shared" si="12"/>
        <v>3838.9039707002812</v>
      </c>
      <c r="AD68" s="302">
        <f t="shared" si="12"/>
        <v>5426.1239603969298</v>
      </c>
      <c r="AE68" s="302">
        <f t="shared" si="12"/>
        <v>530.934254443604</v>
      </c>
      <c r="AF68" s="302">
        <f t="shared" si="12"/>
        <v>91.730040172300221</v>
      </c>
      <c r="AG68" s="302">
        <f t="shared" si="12"/>
        <v>-2377.1156058595243</v>
      </c>
      <c r="AH68" s="302">
        <f t="shared" si="12"/>
        <v>-42.493883185347087</v>
      </c>
      <c r="AI68" s="302">
        <f t="shared" si="12"/>
        <v>-396.83919305707178</v>
      </c>
      <c r="AJ68" s="302">
        <f t="shared" si="12"/>
        <v>606.56439778939784</v>
      </c>
      <c r="AK68" s="302">
        <f t="shared" si="12"/>
        <v>0</v>
      </c>
      <c r="AL68" s="302">
        <f t="shared" si="12"/>
        <v>0</v>
      </c>
      <c r="AM68" s="302">
        <f t="shared" si="12"/>
        <v>0</v>
      </c>
    </row>
    <row r="69" spans="2:39" x14ac:dyDescent="0.3">
      <c r="D69" s="89" t="s">
        <v>72</v>
      </c>
      <c r="F69" s="301">
        <f>'[3]MFR E-6'!$AD$21</f>
        <v>539.22071669980176</v>
      </c>
      <c r="G69" s="301">
        <f>'[3]MFR E-6'!$AE$21</f>
        <v>74.934172642151168</v>
      </c>
      <c r="H69" s="301">
        <f>'[3]MFR E-6'!$AF$21</f>
        <v>7.8652827961760252</v>
      </c>
      <c r="I69" s="301">
        <f>'[3]MFR E-6'!$AG$21</f>
        <v>0.35946274294091063</v>
      </c>
      <c r="J69" s="301">
        <f>'[3]MFR E-6'!$AH$21</f>
        <v>25.614765397743298</v>
      </c>
      <c r="K69" s="301">
        <f>'[3]MFR E-6'!$AQ$21</f>
        <v>0.32062163158508389</v>
      </c>
      <c r="L69" s="301">
        <f>'[3]MFR E-6'!$AR$21</f>
        <v>429.66834396362088</v>
      </c>
      <c r="M69" s="301">
        <f>'[3]MFR E-6'!$AJ$21</f>
        <v>0.45806752558434316</v>
      </c>
      <c r="N69" s="301">
        <f>'[3]MFR E-6'!$AK$21</f>
        <v>0</v>
      </c>
      <c r="O69" s="301">
        <f>'[3]MFR E-6'!$AL$21</f>
        <v>0</v>
      </c>
      <c r="P69" s="302">
        <f t="shared" si="13"/>
        <v>0</v>
      </c>
      <c r="Q69" s="301">
        <f>'[3]MFR E-6'!$H$21</f>
        <v>571.60248541909516</v>
      </c>
      <c r="R69" s="301">
        <f>'[3]MFR E-6'!$I$21</f>
        <v>0</v>
      </c>
      <c r="S69" s="301">
        <f>'[3]MFR E-6'!$J$21</f>
        <v>0</v>
      </c>
      <c r="T69" s="301">
        <f>'[3]MFR E-6'!$K$21</f>
        <v>0</v>
      </c>
      <c r="U69" s="301">
        <f>'[3]MFR E-6'!$L$21</f>
        <v>0</v>
      </c>
      <c r="V69" s="301">
        <f>'[3]MFR E-6'!$V$21</f>
        <v>0</v>
      </c>
      <c r="W69" s="301">
        <f>'[3]MFR E-6'!$U$21</f>
        <v>571.60248541909516</v>
      </c>
      <c r="X69" s="301">
        <f>'[3]MFR E-6'!$N$21</f>
        <v>0</v>
      </c>
      <c r="Y69" s="301">
        <f>'[3]MFR E-6'!$O$21</f>
        <v>0</v>
      </c>
      <c r="Z69" s="301">
        <f>'[3]MFR E-6'!$P$21</f>
        <v>0</v>
      </c>
      <c r="AA69" s="302">
        <f t="shared" si="14"/>
        <v>0</v>
      </c>
      <c r="AB69" s="290"/>
      <c r="AC69" s="302">
        <f t="shared" si="12"/>
        <v>32.381768719293405</v>
      </c>
      <c r="AD69" s="302">
        <f t="shared" si="12"/>
        <v>-74.934172642151168</v>
      </c>
      <c r="AE69" s="302">
        <f t="shared" si="12"/>
        <v>-7.8652827961760252</v>
      </c>
      <c r="AF69" s="302">
        <f t="shared" si="12"/>
        <v>-0.35946274294091063</v>
      </c>
      <c r="AG69" s="302">
        <f t="shared" si="12"/>
        <v>-25.614765397743298</v>
      </c>
      <c r="AH69" s="302">
        <f t="shared" si="12"/>
        <v>-0.32062163158508389</v>
      </c>
      <c r="AI69" s="302">
        <f t="shared" si="12"/>
        <v>141.93414145547428</v>
      </c>
      <c r="AJ69" s="302">
        <f t="shared" si="12"/>
        <v>-0.45806752558434316</v>
      </c>
      <c r="AK69" s="302">
        <f t="shared" si="12"/>
        <v>0</v>
      </c>
      <c r="AL69" s="302">
        <f t="shared" si="12"/>
        <v>0</v>
      </c>
      <c r="AM69" s="302">
        <f t="shared" si="12"/>
        <v>0</v>
      </c>
    </row>
    <row r="70" spans="2:39" x14ac:dyDescent="0.3">
      <c r="D70" s="89" t="s">
        <v>73</v>
      </c>
      <c r="F70" s="301">
        <f>'[3]MFR E-6'!$AD$22</f>
        <v>103604.37734712621</v>
      </c>
      <c r="G70" s="301">
        <f>'[3]MFR E-6'!$AE$22</f>
        <v>0</v>
      </c>
      <c r="H70" s="301">
        <f>'[3]MFR E-6'!$AF$22</f>
        <v>0</v>
      </c>
      <c r="I70" s="301">
        <f>'[3]MFR E-6'!$AG$22</f>
        <v>0</v>
      </c>
      <c r="J70" s="301">
        <f>'[3]MFR E-6'!$AH$22</f>
        <v>0</v>
      </c>
      <c r="K70" s="301">
        <f>'[3]MFR E-6'!$AQ$22</f>
        <v>0</v>
      </c>
      <c r="L70" s="301">
        <f>'[3]MFR E-6'!$AR$22</f>
        <v>0</v>
      </c>
      <c r="M70" s="301">
        <f>'[3]MFR E-6'!$AJ$22</f>
        <v>0</v>
      </c>
      <c r="N70" s="301">
        <f>'[3]MFR E-6'!$AK$22</f>
        <v>103604.37734712621</v>
      </c>
      <c r="O70" s="301">
        <f>'[3]MFR E-6'!$AL$22</f>
        <v>0</v>
      </c>
      <c r="P70" s="302">
        <f t="shared" si="13"/>
        <v>0</v>
      </c>
      <c r="Q70" s="301">
        <f>'[3]MFR E-6'!$H$22</f>
        <v>108686.38208154769</v>
      </c>
      <c r="R70" s="301">
        <f>'[3]MFR E-6'!$I$22</f>
        <v>0</v>
      </c>
      <c r="S70" s="301">
        <f>'[3]MFR E-6'!$J$22</f>
        <v>0</v>
      </c>
      <c r="T70" s="301">
        <f>'[3]MFR E-6'!$K$22</f>
        <v>0</v>
      </c>
      <c r="U70" s="301">
        <f>'[3]MFR E-6'!$L$22</f>
        <v>0</v>
      </c>
      <c r="V70" s="301">
        <f>'[3]MFR E-6'!$V$22</f>
        <v>0</v>
      </c>
      <c r="W70" s="301">
        <f>'[3]MFR E-6'!$U$22</f>
        <v>0</v>
      </c>
      <c r="X70" s="301">
        <f>'[3]MFR E-6'!$N$22</f>
        <v>0</v>
      </c>
      <c r="Y70" s="301">
        <f>'[3]MFR E-6'!$O$22</f>
        <v>108686.38208154769</v>
      </c>
      <c r="Z70" s="301">
        <f>'[3]MFR E-6'!$P$22</f>
        <v>0</v>
      </c>
      <c r="AA70" s="302">
        <f t="shared" si="14"/>
        <v>0</v>
      </c>
      <c r="AB70" s="290"/>
      <c r="AC70" s="302">
        <f t="shared" si="12"/>
        <v>5082.0047344214836</v>
      </c>
      <c r="AD70" s="302">
        <f t="shared" si="12"/>
        <v>0</v>
      </c>
      <c r="AE70" s="302">
        <f t="shared" si="12"/>
        <v>0</v>
      </c>
      <c r="AF70" s="302">
        <f t="shared" si="12"/>
        <v>0</v>
      </c>
      <c r="AG70" s="302">
        <f t="shared" si="12"/>
        <v>0</v>
      </c>
      <c r="AH70" s="302">
        <f t="shared" si="12"/>
        <v>0</v>
      </c>
      <c r="AI70" s="302">
        <f t="shared" si="12"/>
        <v>0</v>
      </c>
      <c r="AJ70" s="302">
        <f t="shared" si="12"/>
        <v>0</v>
      </c>
      <c r="AK70" s="302">
        <f t="shared" si="12"/>
        <v>5082.0047344214836</v>
      </c>
      <c r="AL70" s="302">
        <f t="shared" si="12"/>
        <v>0</v>
      </c>
      <c r="AM70" s="302">
        <f t="shared" si="12"/>
        <v>0</v>
      </c>
    </row>
    <row r="71" spans="2:39" x14ac:dyDescent="0.3">
      <c r="D71" s="89" t="s">
        <v>75</v>
      </c>
      <c r="F71" s="301">
        <f>'[3]MFR E-6'!$AD$23</f>
        <v>198586.46090717395</v>
      </c>
      <c r="G71" s="301">
        <f>'[3]MFR E-6'!$AE$23</f>
        <v>164186.63893794772</v>
      </c>
      <c r="H71" s="301">
        <f>'[3]MFR E-6'!$AF$23</f>
        <v>13001.050150276269</v>
      </c>
      <c r="I71" s="301">
        <f>'[3]MFR E-6'!$AG$23</f>
        <v>1261.6373238364963</v>
      </c>
      <c r="J71" s="301">
        <f>'[3]MFR E-6'!$AH$23</f>
        <v>13780.780670444115</v>
      </c>
      <c r="K71" s="301">
        <f>'[3]MFR E-6'!$AQ$23</f>
        <v>126.95306974920149</v>
      </c>
      <c r="L71" s="301">
        <f>'[3]MFR E-6'!$AR$23</f>
        <v>1169.9717352565801</v>
      </c>
      <c r="M71" s="301">
        <f>'[3]MFR E-6'!$AJ$23</f>
        <v>5059.4290196635584</v>
      </c>
      <c r="N71" s="301">
        <f>'[3]MFR E-6'!$AK$23</f>
        <v>0</v>
      </c>
      <c r="O71" s="301">
        <f>'[3]MFR E-6'!$AL$23</f>
        <v>0</v>
      </c>
      <c r="P71" s="302">
        <f t="shared" si="13"/>
        <v>0</v>
      </c>
      <c r="Q71" s="301">
        <f>'[3]MFR E-6'!$H$23</f>
        <v>208204.78472690683</v>
      </c>
      <c r="R71" s="301">
        <f>'[3]MFR E-6'!$I$23</f>
        <v>181270.08646287865</v>
      </c>
      <c r="S71" s="301">
        <f>'[3]MFR E-6'!$J$23</f>
        <v>13260.275545339464</v>
      </c>
      <c r="T71" s="301">
        <f>'[3]MFR E-6'!$K$23</f>
        <v>1510.5287338084909</v>
      </c>
      <c r="U71" s="301">
        <f>'[3]MFR E-6'!$L$23</f>
        <v>5457.4334205927207</v>
      </c>
      <c r="V71" s="301">
        <f>'[3]MFR E-6'!$V$23</f>
        <v>6.5921651331755404</v>
      </c>
      <c r="W71" s="301">
        <f>'[3]MFR E-6'!$U$23</f>
        <v>129.9399191766984</v>
      </c>
      <c r="X71" s="301">
        <f>'[3]MFR E-6'!$N$23</f>
        <v>6569.928490549335</v>
      </c>
      <c r="Y71" s="301">
        <f>'[3]MFR E-6'!$O$23</f>
        <v>0</v>
      </c>
      <c r="Z71" s="301">
        <f>'[3]MFR E-6'!$P$23</f>
        <v>0</v>
      </c>
      <c r="AA71" s="302">
        <f t="shared" si="14"/>
        <v>-1.0571704478934407E-5</v>
      </c>
      <c r="AB71" s="290"/>
      <c r="AC71" s="302">
        <f t="shared" si="12"/>
        <v>9618.3238197328756</v>
      </c>
      <c r="AD71" s="302">
        <f t="shared" si="12"/>
        <v>17083.447524930933</v>
      </c>
      <c r="AE71" s="302">
        <f t="shared" si="12"/>
        <v>259.22539506319481</v>
      </c>
      <c r="AF71" s="302">
        <f t="shared" si="12"/>
        <v>248.89140997199456</v>
      </c>
      <c r="AG71" s="302">
        <f t="shared" si="12"/>
        <v>-8323.3472498513947</v>
      </c>
      <c r="AH71" s="302">
        <f t="shared" si="12"/>
        <v>-120.36090461602595</v>
      </c>
      <c r="AI71" s="302">
        <f t="shared" si="12"/>
        <v>-1040.0318160798818</v>
      </c>
      <c r="AJ71" s="302">
        <f t="shared" si="12"/>
        <v>1510.4994708857766</v>
      </c>
      <c r="AK71" s="302">
        <f t="shared" si="12"/>
        <v>0</v>
      </c>
      <c r="AL71" s="302">
        <f t="shared" si="12"/>
        <v>0</v>
      </c>
      <c r="AM71" s="302">
        <f t="shared" si="12"/>
        <v>-1.0571704478934407E-5</v>
      </c>
    </row>
    <row r="72" spans="2:39" ht="15" thickBot="1" x14ac:dyDescent="0.35">
      <c r="D72" s="278" t="s">
        <v>77</v>
      </c>
      <c r="F72" s="303">
        <f>+'[3]1-Summary (present rev)'!$H$43</f>
        <v>3359766.0112679075</v>
      </c>
      <c r="G72" s="303">
        <f>+'[3]1-Summary (present rev)'!$I$43</f>
        <v>2119643.1357678459</v>
      </c>
      <c r="H72" s="303">
        <f>+'[3]1-Summary (present rev)'!J$43</f>
        <v>196086.07475527626</v>
      </c>
      <c r="I72" s="303">
        <f>+'[3]1-Summary (present rev)'!K$43</f>
        <v>11837.442096871071</v>
      </c>
      <c r="J72" s="303">
        <f>+'[3]1-Summary (present rev)'!L$43</f>
        <v>787588.47349469538</v>
      </c>
      <c r="K72" s="303">
        <f>+'[3]1-Summary (present rev)'!M$43</f>
        <v>9655.1769959138692</v>
      </c>
      <c r="L72" s="303">
        <f>+'[3]1-Summary (present rev)'!N$43</f>
        <v>105854.35290484448</v>
      </c>
      <c r="M72" s="303">
        <f>+'[3]1-Summary (present rev)'!O$43</f>
        <v>20554.559988491703</v>
      </c>
      <c r="N72" s="303">
        <f>+'[3]1-Summary (present rev)'!P$43</f>
        <v>103604.37734712621</v>
      </c>
      <c r="O72" s="303">
        <f>+'[3]1-Summary (present rev)'!Q$43</f>
        <v>4942.4207120013889</v>
      </c>
      <c r="P72" s="302">
        <f t="shared" si="13"/>
        <v>-2.7951584197580814E-3</v>
      </c>
      <c r="Q72" s="303">
        <f>'[3]MFR E-6'!$H$25</f>
        <v>3511422.4111811207</v>
      </c>
      <c r="R72" s="303">
        <f>'[3]MFR E-6'!$I$25</f>
        <v>2203555.0489446074</v>
      </c>
      <c r="S72" s="303">
        <f>'[3]MFR E-6'!$J$25</f>
        <v>196088.0871994851</v>
      </c>
      <c r="T72" s="303">
        <f>'[3]MFR E-6'!$K$25</f>
        <v>12785.610806634857</v>
      </c>
      <c r="U72" s="303">
        <f>'[3]MFR E-6'!$L$25</f>
        <v>835541.91284345614</v>
      </c>
      <c r="V72" s="303">
        <f>'[3]MFR E-6'!$V$25</f>
        <v>10190.443876116973</v>
      </c>
      <c r="W72" s="303">
        <f>'[3]MFR E-6'!$U$25</f>
        <v>116286.87122353252</v>
      </c>
      <c r="X72" s="303">
        <f>'[3]MFR E-6'!$N$25</f>
        <v>23713.842992225473</v>
      </c>
      <c r="Y72" s="303">
        <f>'[3]MFR E-6'!$O$25</f>
        <v>108686.38208154769</v>
      </c>
      <c r="Z72" s="303">
        <f>'[3]MFR E-6'!$P$25</f>
        <v>4574.2112240859133</v>
      </c>
      <c r="AA72" s="302">
        <f>+Q72-SUM(R72:Z72)</f>
        <v>-1.0571442544460297E-5</v>
      </c>
      <c r="AB72" s="290"/>
      <c r="AC72" s="304">
        <f>SUM(AC60:AC71)</f>
        <v>151656.39647080057</v>
      </c>
      <c r="AD72" s="304">
        <f t="shared" ref="AD72:AM72" si="15">SUM(AD60:AD71)</f>
        <v>83911.901932543813</v>
      </c>
      <c r="AE72" s="304">
        <f t="shared" si="15"/>
        <v>2.0124442088317096</v>
      </c>
      <c r="AF72" s="304">
        <f t="shared" si="15"/>
        <v>948.16870976378618</v>
      </c>
      <c r="AG72" s="304">
        <f t="shared" si="15"/>
        <v>47953.439348760883</v>
      </c>
      <c r="AH72" s="304">
        <f t="shared" si="15"/>
        <v>535.26688020310121</v>
      </c>
      <c r="AI72" s="304">
        <f t="shared" si="15"/>
        <v>10432.518318688057</v>
      </c>
      <c r="AJ72" s="304">
        <f t="shared" si="15"/>
        <v>3159.2830037337658</v>
      </c>
      <c r="AK72" s="304">
        <f t="shared" si="15"/>
        <v>5082.0047344214836</v>
      </c>
      <c r="AL72" s="304">
        <f t="shared" si="15"/>
        <v>-368.20948791547562</v>
      </c>
      <c r="AM72" s="304">
        <f t="shared" si="15"/>
        <v>1.0586392454570159E-2</v>
      </c>
    </row>
    <row r="73" spans="2:39" ht="15" thickTop="1" x14ac:dyDescent="0.3">
      <c r="F73" s="305">
        <f t="shared" ref="F73:N73" si="16">SUM(F60:F71)-F72</f>
        <v>3.4424122422933578E-3</v>
      </c>
      <c r="G73" s="305">
        <f t="shared" si="16"/>
        <v>1.1244217399507761E-2</v>
      </c>
      <c r="H73" s="305">
        <f t="shared" si="16"/>
        <v>0</v>
      </c>
      <c r="I73" s="305">
        <f t="shared" si="16"/>
        <v>0</v>
      </c>
      <c r="J73" s="305">
        <f t="shared" si="16"/>
        <v>0</v>
      </c>
      <c r="K73" s="305">
        <f t="shared" si="16"/>
        <v>0</v>
      </c>
      <c r="L73" s="305">
        <f t="shared" si="16"/>
        <v>0</v>
      </c>
      <c r="M73" s="305">
        <f t="shared" si="16"/>
        <v>0</v>
      </c>
      <c r="N73" s="305">
        <f t="shared" si="16"/>
        <v>0</v>
      </c>
      <c r="O73" s="305"/>
      <c r="Q73" s="305">
        <f t="shared" ref="Q73:Y73" si="17">SUM(Q60:Q71)-Q72</f>
        <v>0</v>
      </c>
      <c r="R73" s="305">
        <f t="shared" si="17"/>
        <v>0</v>
      </c>
      <c r="S73" s="305">
        <f t="shared" si="17"/>
        <v>0</v>
      </c>
      <c r="T73" s="305">
        <f t="shared" si="17"/>
        <v>0</v>
      </c>
      <c r="U73" s="305">
        <f t="shared" si="17"/>
        <v>0</v>
      </c>
      <c r="V73" s="305">
        <f t="shared" si="17"/>
        <v>0</v>
      </c>
      <c r="W73" s="305">
        <f t="shared" si="17"/>
        <v>0</v>
      </c>
      <c r="X73" s="305">
        <f t="shared" si="17"/>
        <v>0</v>
      </c>
      <c r="Y73" s="305">
        <f t="shared" si="17"/>
        <v>0</v>
      </c>
      <c r="Z73" s="305"/>
      <c r="AB73" s="290"/>
    </row>
    <row r="74" spans="2:39" x14ac:dyDescent="0.3">
      <c r="F74" s="305"/>
      <c r="G74" s="305"/>
      <c r="H74" s="305"/>
      <c r="I74" s="305"/>
      <c r="J74" s="305"/>
      <c r="K74" s="305"/>
      <c r="L74" s="305"/>
      <c r="M74" s="305"/>
      <c r="N74" s="305"/>
      <c r="O74" s="305"/>
      <c r="AB74" s="290"/>
    </row>
    <row r="75" spans="2:39" x14ac:dyDescent="0.3">
      <c r="D75" s="289" t="s">
        <v>287</v>
      </c>
      <c r="E75" s="290"/>
      <c r="F75" s="291" t="s">
        <v>288</v>
      </c>
      <c r="G75" s="291"/>
      <c r="H75" s="291"/>
      <c r="I75" s="291"/>
      <c r="J75" s="291"/>
      <c r="K75" s="291"/>
      <c r="L75" s="291"/>
      <c r="M75" s="291"/>
      <c r="N75" s="291"/>
      <c r="O75" s="291"/>
      <c r="P75" s="290"/>
      <c r="Q75" s="291" t="s">
        <v>281</v>
      </c>
      <c r="R75" s="291"/>
      <c r="S75" s="291"/>
      <c r="T75" s="291"/>
      <c r="U75" s="291"/>
      <c r="V75" s="291"/>
      <c r="W75" s="291"/>
      <c r="X75" s="291"/>
      <c r="Y75" s="291"/>
      <c r="Z75" s="291"/>
      <c r="AA75" s="290"/>
      <c r="AB75" s="290"/>
    </row>
    <row r="76" spans="2:39" x14ac:dyDescent="0.3">
      <c r="B76" s="279"/>
      <c r="F76" s="292"/>
      <c r="G76" s="292"/>
      <c r="H76" s="292" t="s">
        <v>33</v>
      </c>
      <c r="I76" s="292" t="s">
        <v>33</v>
      </c>
      <c r="J76" s="292" t="s">
        <v>33</v>
      </c>
      <c r="M76" s="293"/>
      <c r="N76" s="293"/>
      <c r="O76" s="293"/>
      <c r="Q76" s="292"/>
      <c r="R76" s="292"/>
      <c r="S76" s="292" t="s">
        <v>33</v>
      </c>
      <c r="T76" s="292" t="s">
        <v>33</v>
      </c>
      <c r="U76" s="292" t="s">
        <v>33</v>
      </c>
      <c r="X76" s="293"/>
      <c r="Y76" s="293"/>
      <c r="AB76" s="290"/>
    </row>
    <row r="77" spans="2:39" x14ac:dyDescent="0.3">
      <c r="F77" s="292" t="s">
        <v>37</v>
      </c>
      <c r="G77" s="292" t="s">
        <v>38</v>
      </c>
      <c r="H77" s="292" t="s">
        <v>39</v>
      </c>
      <c r="I77" s="294" t="s">
        <v>40</v>
      </c>
      <c r="J77" s="292" t="s">
        <v>41</v>
      </c>
      <c r="K77" s="292" t="s">
        <v>46</v>
      </c>
      <c r="L77" s="292" t="s">
        <v>42</v>
      </c>
      <c r="M77" s="357" t="s">
        <v>43</v>
      </c>
      <c r="N77" s="357"/>
      <c r="O77" s="295" t="s">
        <v>284</v>
      </c>
      <c r="Q77" s="292" t="s">
        <v>37</v>
      </c>
      <c r="R77" s="292" t="s">
        <v>38</v>
      </c>
      <c r="S77" s="292" t="s">
        <v>39</v>
      </c>
      <c r="T77" s="294" t="s">
        <v>40</v>
      </c>
      <c r="U77" s="292" t="s">
        <v>41</v>
      </c>
      <c r="V77" s="292" t="s">
        <v>46</v>
      </c>
      <c r="W77" s="292" t="s">
        <v>42</v>
      </c>
      <c r="X77" s="296" t="s">
        <v>43</v>
      </c>
      <c r="Y77" s="297"/>
      <c r="Z77" s="292" t="s">
        <v>284</v>
      </c>
      <c r="AB77" s="290"/>
    </row>
    <row r="78" spans="2:39" x14ac:dyDescent="0.3">
      <c r="F78" s="298" t="s">
        <v>48</v>
      </c>
      <c r="G78" s="298" t="s">
        <v>49</v>
      </c>
      <c r="H78" s="298" t="s">
        <v>50</v>
      </c>
      <c r="I78" s="298" t="s">
        <v>51</v>
      </c>
      <c r="J78" s="298" t="s">
        <v>52</v>
      </c>
      <c r="K78" s="298" t="s">
        <v>57</v>
      </c>
      <c r="L78" s="299" t="s">
        <v>58</v>
      </c>
      <c r="M78" s="298" t="s">
        <v>54</v>
      </c>
      <c r="N78" s="298" t="s">
        <v>55</v>
      </c>
      <c r="O78" s="298" t="s">
        <v>44</v>
      </c>
      <c r="P78" s="285" t="s">
        <v>45</v>
      </c>
      <c r="Q78" s="298" t="s">
        <v>48</v>
      </c>
      <c r="R78" s="298" t="s">
        <v>49</v>
      </c>
      <c r="S78" s="298" t="s">
        <v>50</v>
      </c>
      <c r="T78" s="298" t="s">
        <v>51</v>
      </c>
      <c r="U78" s="298" t="s">
        <v>52</v>
      </c>
      <c r="V78" s="298" t="s">
        <v>57</v>
      </c>
      <c r="W78" s="299" t="s">
        <v>58</v>
      </c>
      <c r="X78" s="298" t="s">
        <v>54</v>
      </c>
      <c r="Y78" s="298" t="s">
        <v>55</v>
      </c>
      <c r="Z78" s="299" t="s">
        <v>44</v>
      </c>
      <c r="AA78" s="285" t="s">
        <v>45</v>
      </c>
      <c r="AB78" s="290"/>
    </row>
    <row r="79" spans="2:39" ht="18" x14ac:dyDescent="0.3">
      <c r="D79" s="300"/>
      <c r="E79" s="300">
        <v>2027</v>
      </c>
      <c r="F79" s="292"/>
      <c r="G79" s="292"/>
      <c r="H79" s="292"/>
      <c r="I79" s="292"/>
      <c r="J79" s="292"/>
      <c r="K79" s="292"/>
      <c r="M79" s="292"/>
      <c r="N79" s="292"/>
      <c r="O79" s="292"/>
      <c r="Q79" s="292"/>
      <c r="R79" s="292"/>
      <c r="S79" s="292"/>
      <c r="T79" s="292"/>
      <c r="U79" s="292"/>
      <c r="V79" s="292"/>
      <c r="X79" s="292"/>
      <c r="Y79" s="292"/>
      <c r="AB79" s="290"/>
    </row>
    <row r="80" spans="2:39" x14ac:dyDescent="0.3">
      <c r="D80" s="89" t="s">
        <v>285</v>
      </c>
      <c r="F80" s="301">
        <f>'[4]MFR E-6'!$AD$12</f>
        <v>1329953.5243577417</v>
      </c>
      <c r="G80" s="301">
        <f>'[4]MFR E-6'!$AE$12</f>
        <v>829651.61916758341</v>
      </c>
      <c r="H80" s="301">
        <f>'[4]MFR E-6'!$AF$12</f>
        <v>71258.909835087776</v>
      </c>
      <c r="I80" s="301">
        <f>'[4]MFR E-6'!$AG$12</f>
        <v>4588.3396590342081</v>
      </c>
      <c r="J80" s="301">
        <f>'[4]MFR E-6'!$AH$12</f>
        <v>363462.9986717272</v>
      </c>
      <c r="K80" s="301">
        <f>'[4]MFR E-6'!$AR$12</f>
        <v>4003.1601083168016</v>
      </c>
      <c r="L80" s="301">
        <f>'[4]MFR E-6'!$AQ$12</f>
        <v>55698.453600102221</v>
      </c>
      <c r="M80" s="301">
        <f>'[4]MFR E-6'!$AJ$12</f>
        <v>1290.0549186270093</v>
      </c>
      <c r="N80" s="301">
        <f>'[4]MFR E-6'!$AK$12</f>
        <v>0</v>
      </c>
      <c r="O80" s="301">
        <f>'[4]MFR E-6'!$AL$12</f>
        <v>0</v>
      </c>
      <c r="P80" s="302">
        <f>+F80-SUM(G80:O80)</f>
        <v>-1.1602736776694655E-2</v>
      </c>
      <c r="Q80" s="301">
        <f>'[4]MFR E-6'!$H$12</f>
        <v>1385938.527227791</v>
      </c>
      <c r="R80" s="301">
        <f>'[4]MFR E-6'!$I$12</f>
        <v>864576.17205524025</v>
      </c>
      <c r="S80" s="301">
        <f>'[4]MFR E-6'!$J$12</f>
        <v>74258.586288865015</v>
      </c>
      <c r="T80" s="301">
        <f>'[4]MFR E-6'!$K$12</f>
        <v>4781.4879189358771</v>
      </c>
      <c r="U80" s="301">
        <f>'[4]MFR E-6'!$L$12</f>
        <v>378763.14010608289</v>
      </c>
      <c r="V80" s="301">
        <f>'[4]MFR E-6'!$V$12</f>
        <v>4171.6749669556493</v>
      </c>
      <c r="W80" s="301">
        <f>'[4]MFR E-6'!$U$12</f>
        <v>58043.105520299876</v>
      </c>
      <c r="X80" s="301">
        <f>'[4]MFR E-6'!$N$12</f>
        <v>1344.360371410957</v>
      </c>
      <c r="Y80" s="301">
        <f>'[4]MFR E-6'!$O$12</f>
        <v>0</v>
      </c>
      <c r="Z80" s="301">
        <f>'[4]MFR E-6'!$P$12</f>
        <v>0</v>
      </c>
      <c r="AA80" s="302">
        <f>+Q80-SUM(R80:Z80)</f>
        <v>0</v>
      </c>
      <c r="AB80" s="290"/>
      <c r="AC80" s="302">
        <f t="shared" ref="AC80:AM91" si="18">Q80-F80</f>
        <v>55985.002870049328</v>
      </c>
      <c r="AD80" s="302">
        <f t="shared" si="18"/>
        <v>34924.552887656842</v>
      </c>
      <c r="AE80" s="302">
        <f t="shared" si="18"/>
        <v>2999.6764537772397</v>
      </c>
      <c r="AF80" s="302">
        <f t="shared" si="18"/>
        <v>193.14825990166901</v>
      </c>
      <c r="AG80" s="302">
        <f t="shared" si="18"/>
        <v>15300.141434355697</v>
      </c>
      <c r="AH80" s="302">
        <f t="shared" si="18"/>
        <v>168.51485863884773</v>
      </c>
      <c r="AI80" s="302">
        <f t="shared" si="18"/>
        <v>2344.6519201976553</v>
      </c>
      <c r="AJ80" s="302">
        <f t="shared" si="18"/>
        <v>54.305452783947658</v>
      </c>
      <c r="AK80" s="302">
        <f t="shared" si="18"/>
        <v>0</v>
      </c>
      <c r="AL80" s="302">
        <f t="shared" si="18"/>
        <v>0</v>
      </c>
      <c r="AM80" s="302">
        <f t="shared" si="18"/>
        <v>1.1602736776694655E-2</v>
      </c>
    </row>
    <row r="81" spans="4:39" x14ac:dyDescent="0.3">
      <c r="D81" s="89" t="s">
        <v>63</v>
      </c>
      <c r="F81" s="301">
        <f>'[4]MFR E-6'!$AD$13</f>
        <v>246943.36976930525</v>
      </c>
      <c r="G81" s="301">
        <f>'[4]MFR E-6'!$AE$13</f>
        <v>149005.77293109478</v>
      </c>
      <c r="H81" s="301">
        <f>'[4]MFR E-6'!$AF$13</f>
        <v>18791.653920304467</v>
      </c>
      <c r="I81" s="301">
        <f>'[4]MFR E-6'!$AG$13</f>
        <v>1116.9322111130025</v>
      </c>
      <c r="J81" s="301">
        <f>'[4]MFR E-6'!$AH$13</f>
        <v>64573.052178610837</v>
      </c>
      <c r="K81" s="301">
        <f>'[4]MFR E-6'!$AR$13</f>
        <v>1109.5566258293529</v>
      </c>
      <c r="L81" s="301">
        <f>'[4]MFR E-6'!$AQ$13</f>
        <v>9671.5832309803336</v>
      </c>
      <c r="M81" s="301">
        <f>'[4]MFR E-6'!$AJ$13</f>
        <v>2674.8180721306799</v>
      </c>
      <c r="N81" s="301">
        <f>'[4]MFR E-6'!$AK$13</f>
        <v>0</v>
      </c>
      <c r="O81" s="301">
        <f>'[4]MFR E-6'!$AL$13</f>
        <v>0</v>
      </c>
      <c r="P81" s="302">
        <f t="shared" ref="P81:P92" si="19">+F81-SUM(G81:O81)</f>
        <v>5.9924181550741196E-4</v>
      </c>
      <c r="Q81" s="301">
        <f>'[4]MFR E-6'!$H$13</f>
        <v>261953.26270627227</v>
      </c>
      <c r="R81" s="301">
        <f>'[4]MFR E-6'!$I$13</f>
        <v>139519.28835522308</v>
      </c>
      <c r="S81" s="301">
        <f>'[4]MFR E-6'!$J$13</f>
        <v>14403.699985873332</v>
      </c>
      <c r="T81" s="301">
        <f>'[4]MFR E-6'!$K$13</f>
        <v>1361.6595220222491</v>
      </c>
      <c r="U81" s="301">
        <f>'[4]MFR E-6'!$L$13</f>
        <v>86437.334041334601</v>
      </c>
      <c r="V81" s="301">
        <f>'[4]MFR E-6'!$V$13</f>
        <v>1337.2124203838832</v>
      </c>
      <c r="W81" s="301">
        <f>'[4]MFR E-6'!$U$13</f>
        <v>16705.131182822381</v>
      </c>
      <c r="X81" s="301">
        <f>'[4]MFR E-6'!$N$13</f>
        <v>2188.9371986128126</v>
      </c>
      <c r="Y81" s="301">
        <f>'[4]MFR E-6'!$O$13</f>
        <v>0</v>
      </c>
      <c r="Z81" s="301">
        <f>'[4]MFR E-6'!$P$13</f>
        <v>0</v>
      </c>
      <c r="AA81" s="302">
        <f t="shared" ref="AA81:AA91" si="20">+Q81-SUM(R81:Z81)</f>
        <v>0</v>
      </c>
      <c r="AB81" s="290"/>
      <c r="AC81" s="302">
        <f t="shared" si="18"/>
        <v>15009.892936967022</v>
      </c>
      <c r="AD81" s="302">
        <f t="shared" si="18"/>
        <v>-9486.4845758716983</v>
      </c>
      <c r="AE81" s="302">
        <f t="shared" si="18"/>
        <v>-4387.9539344311343</v>
      </c>
      <c r="AF81" s="302">
        <f t="shared" si="18"/>
        <v>244.72731090924663</v>
      </c>
      <c r="AG81" s="302">
        <f t="shared" si="18"/>
        <v>21864.281862723765</v>
      </c>
      <c r="AH81" s="302">
        <f t="shared" si="18"/>
        <v>227.6557945545303</v>
      </c>
      <c r="AI81" s="302">
        <f t="shared" si="18"/>
        <v>7033.547951842047</v>
      </c>
      <c r="AJ81" s="302">
        <f t="shared" si="18"/>
        <v>-485.88087351786726</v>
      </c>
      <c r="AK81" s="302">
        <f t="shared" si="18"/>
        <v>0</v>
      </c>
      <c r="AL81" s="302">
        <f t="shared" si="18"/>
        <v>0</v>
      </c>
      <c r="AM81" s="302">
        <f t="shared" si="18"/>
        <v>-5.9924181550741196E-4</v>
      </c>
    </row>
    <row r="82" spans="4:39" x14ac:dyDescent="0.3">
      <c r="D82" s="89" t="s">
        <v>64</v>
      </c>
      <c r="F82" s="301">
        <f>'[4]MFR E-6'!$AD$14</f>
        <v>536668.49659004493</v>
      </c>
      <c r="G82" s="301">
        <f>'[4]MFR E-6'!$AE$14</f>
        <v>342284.71476139693</v>
      </c>
      <c r="H82" s="301">
        <f>'[4]MFR E-6'!$AF$14</f>
        <v>30447.659963334801</v>
      </c>
      <c r="I82" s="301">
        <f>'[4]MFR E-6'!$AG$14</f>
        <v>1761.6096535375459</v>
      </c>
      <c r="J82" s="301">
        <f>'[4]MFR E-6'!$AH$14</f>
        <v>140010.52137063621</v>
      </c>
      <c r="K82" s="301">
        <f>'[4]MFR E-6'!$AR$14</f>
        <v>1527.7784508983577</v>
      </c>
      <c r="L82" s="301">
        <f>'[4]MFR E-6'!$AQ$14</f>
        <v>20054.553668817258</v>
      </c>
      <c r="M82" s="301">
        <f>'[4]MFR E-6'!$AJ$14</f>
        <v>581.65872142380442</v>
      </c>
      <c r="N82" s="301">
        <f>'[4]MFR E-6'!$AK$14</f>
        <v>0</v>
      </c>
      <c r="O82" s="301">
        <f>'[4]MFR E-6'!$AL$14</f>
        <v>0</v>
      </c>
      <c r="P82" s="302">
        <f t="shared" si="19"/>
        <v>0</v>
      </c>
      <c r="Q82" s="301">
        <f>'[4]MFR E-6'!$H$14</f>
        <v>578387.68620634871</v>
      </c>
      <c r="R82" s="301">
        <f>'[4]MFR E-6'!$I$14</f>
        <v>365206.62078321417</v>
      </c>
      <c r="S82" s="301">
        <f>'[4]MFR E-6'!$J$14</f>
        <v>30923.803496627355</v>
      </c>
      <c r="T82" s="301">
        <f>'[4]MFR E-6'!$K$14</f>
        <v>1908.9706536284971</v>
      </c>
      <c r="U82" s="301">
        <f>'[4]MFR E-6'!$L$14</f>
        <v>155333.93079565107</v>
      </c>
      <c r="V82" s="301">
        <f>'[4]MFR E-6'!$V$14</f>
        <v>1642.7795266285073</v>
      </c>
      <c r="W82" s="301">
        <f>'[4]MFR E-6'!$U$14</f>
        <v>23166.233509770525</v>
      </c>
      <c r="X82" s="301">
        <f>'[4]MFR E-6'!$N$14</f>
        <v>205.34744082856341</v>
      </c>
      <c r="Y82" s="301">
        <f>'[4]MFR E-6'!$O$14</f>
        <v>0</v>
      </c>
      <c r="Z82" s="301">
        <f>'[4]MFR E-6'!$P$14</f>
        <v>0</v>
      </c>
      <c r="AA82" s="302">
        <f t="shared" si="20"/>
        <v>0</v>
      </c>
      <c r="AB82" s="290"/>
      <c r="AC82" s="302">
        <f t="shared" si="18"/>
        <v>41719.189616303775</v>
      </c>
      <c r="AD82" s="302">
        <f t="shared" si="18"/>
        <v>22921.906021817238</v>
      </c>
      <c r="AE82" s="302">
        <f t="shared" si="18"/>
        <v>476.14353329255391</v>
      </c>
      <c r="AF82" s="302">
        <f t="shared" si="18"/>
        <v>147.36100009095117</v>
      </c>
      <c r="AG82" s="302">
        <f t="shared" si="18"/>
        <v>15323.409425014863</v>
      </c>
      <c r="AH82" s="302">
        <f t="shared" si="18"/>
        <v>115.00107573014952</v>
      </c>
      <c r="AI82" s="302">
        <f t="shared" si="18"/>
        <v>3111.6798409532676</v>
      </c>
      <c r="AJ82" s="302">
        <f t="shared" si="18"/>
        <v>-376.31128059524099</v>
      </c>
      <c r="AK82" s="302">
        <f t="shared" si="18"/>
        <v>0</v>
      </c>
      <c r="AL82" s="302">
        <f t="shared" si="18"/>
        <v>0</v>
      </c>
      <c r="AM82" s="302">
        <f t="shared" si="18"/>
        <v>0</v>
      </c>
    </row>
    <row r="83" spans="4:39" x14ac:dyDescent="0.3">
      <c r="D83" s="89" t="s">
        <v>65</v>
      </c>
      <c r="F83" s="301">
        <f>'[4]MFR E-6'!$AD$15</f>
        <v>713267.77998903359</v>
      </c>
      <c r="G83" s="301">
        <f>'[4]MFR E-6'!$AE$15</f>
        <v>462539.45769333158</v>
      </c>
      <c r="H83" s="301">
        <f>'[4]MFR E-6'!$AF$15</f>
        <v>43192.87350753841</v>
      </c>
      <c r="I83" s="301">
        <f>'[4]MFR E-6'!$AG$15</f>
        <v>1979.0941228918525</v>
      </c>
      <c r="J83" s="301">
        <f>'[4]MFR E-6'!$AH$15</f>
        <v>179873.40529318294</v>
      </c>
      <c r="K83" s="301">
        <f>'[4]MFR E-6'!$AR$15</f>
        <v>2781.030280028051</v>
      </c>
      <c r="L83" s="301">
        <f>'[4]MFR E-6'!$AQ$15</f>
        <v>17205.124544851846</v>
      </c>
      <c r="M83" s="301">
        <f>'[4]MFR E-6'!$AJ$15</f>
        <v>5696.7945472088777</v>
      </c>
      <c r="N83" s="301">
        <f>'[4]MFR E-6'!$AK$15</f>
        <v>0</v>
      </c>
      <c r="O83" s="301">
        <f>'[4]MFR E-6'!$AL$15</f>
        <v>0</v>
      </c>
      <c r="P83" s="302">
        <f t="shared" si="19"/>
        <v>0</v>
      </c>
      <c r="Q83" s="301">
        <f>'[4]MFR E-6'!$H$15</f>
        <v>768872.66015870741</v>
      </c>
      <c r="R83" s="301">
        <f>'[4]MFR E-6'!$I$15</f>
        <v>495695.78399762494</v>
      </c>
      <c r="S83" s="301">
        <f>'[4]MFR E-6'!$J$15</f>
        <v>44762.182180553944</v>
      </c>
      <c r="T83" s="301">
        <f>'[4]MFR E-6'!$K$15</f>
        <v>2052.4858836899966</v>
      </c>
      <c r="U83" s="301">
        <f>'[4]MFR E-6'!$L$15</f>
        <v>198167.10320853931</v>
      </c>
      <c r="V83" s="301">
        <f>'[4]MFR E-6'!$V$15</f>
        <v>3189.12149258605</v>
      </c>
      <c r="W83" s="301">
        <f>'[4]MFR E-6'!$U$15</f>
        <v>18137.106334758613</v>
      </c>
      <c r="X83" s="301">
        <f>'[4]MFR E-6'!$N$15</f>
        <v>6868.8770609545682</v>
      </c>
      <c r="Y83" s="301">
        <f>'[4]MFR E-6'!$O$15</f>
        <v>0</v>
      </c>
      <c r="Z83" s="301">
        <f>'[4]MFR E-6'!$P$15</f>
        <v>0</v>
      </c>
      <c r="AA83" s="302">
        <f t="shared" si="20"/>
        <v>0</v>
      </c>
      <c r="AB83" s="290"/>
      <c r="AC83" s="302">
        <f t="shared" si="18"/>
        <v>55604.880169673823</v>
      </c>
      <c r="AD83" s="302">
        <f t="shared" si="18"/>
        <v>33156.326304293354</v>
      </c>
      <c r="AE83" s="302">
        <f t="shared" si="18"/>
        <v>1569.3086730155337</v>
      </c>
      <c r="AF83" s="302">
        <f t="shared" si="18"/>
        <v>73.391760798144105</v>
      </c>
      <c r="AG83" s="302">
        <f t="shared" si="18"/>
        <v>18293.697915356373</v>
      </c>
      <c r="AH83" s="302">
        <f t="shared" si="18"/>
        <v>408.09121255799892</v>
      </c>
      <c r="AI83" s="302">
        <f t="shared" si="18"/>
        <v>931.98178990676752</v>
      </c>
      <c r="AJ83" s="302">
        <f t="shared" si="18"/>
        <v>1172.0825137456904</v>
      </c>
      <c r="AK83" s="302">
        <f t="shared" si="18"/>
        <v>0</v>
      </c>
      <c r="AL83" s="302">
        <f t="shared" si="18"/>
        <v>0</v>
      </c>
      <c r="AM83" s="302">
        <f t="shared" si="18"/>
        <v>0</v>
      </c>
    </row>
    <row r="84" spans="4:39" x14ac:dyDescent="0.3">
      <c r="D84" s="89" t="s">
        <v>66</v>
      </c>
      <c r="F84" s="301">
        <f>'[4]MFR E-6'!$AD$16</f>
        <v>0</v>
      </c>
      <c r="G84" s="301">
        <f>'[4]MFR E-6'!$AE$16</f>
        <v>0</v>
      </c>
      <c r="H84" s="301">
        <f>'[4]MFR E-6'!$AF$16</f>
        <v>0</v>
      </c>
      <c r="I84" s="301">
        <f>'[4]MFR E-6'!$AG$16</f>
        <v>0</v>
      </c>
      <c r="J84" s="301">
        <f>'[4]MFR E-6'!$AH$16</f>
        <v>0</v>
      </c>
      <c r="K84" s="301">
        <f>'[4]MFR E-6'!$AR$16</f>
        <v>0</v>
      </c>
      <c r="L84" s="301">
        <f>'[4]MFR E-6'!$AQ$16</f>
        <v>0</v>
      </c>
      <c r="M84" s="301">
        <f>'[4]MFR E-6'!$AJ$16</f>
        <v>0</v>
      </c>
      <c r="N84" s="301">
        <f>'[4]MFR E-6'!$AK$16</f>
        <v>0</v>
      </c>
      <c r="O84" s="301">
        <f>'[4]MFR E-6'!$AL$16</f>
        <v>0</v>
      </c>
      <c r="P84" s="302">
        <f t="shared" si="19"/>
        <v>0</v>
      </c>
      <c r="Q84" s="301">
        <f>'[4]MFR E-6'!$H$16</f>
        <v>0</v>
      </c>
      <c r="R84" s="301">
        <f>'[4]MFR E-6'!$I$16</f>
        <v>0</v>
      </c>
      <c r="S84" s="301">
        <f>'[4]MFR E-6'!$J$16</f>
        <v>0</v>
      </c>
      <c r="T84" s="301">
        <f>'[4]MFR E-6'!$K$16</f>
        <v>0</v>
      </c>
      <c r="U84" s="301">
        <f>'[4]MFR E-6'!$L$16</f>
        <v>0</v>
      </c>
      <c r="V84" s="301">
        <f>'[4]MFR E-6'!$V$16</f>
        <v>0</v>
      </c>
      <c r="W84" s="301">
        <f>'[4]MFR E-6'!$U$16</f>
        <v>0</v>
      </c>
      <c r="X84" s="301">
        <f>'[4]MFR E-6'!$N$16</f>
        <v>0</v>
      </c>
      <c r="Y84" s="301">
        <f>'[4]MFR E-6'!$O$16</f>
        <v>0</v>
      </c>
      <c r="Z84" s="301">
        <f>'[4]MFR E-6'!$P$16</f>
        <v>0</v>
      </c>
      <c r="AA84" s="302">
        <f t="shared" si="20"/>
        <v>0</v>
      </c>
      <c r="AB84" s="290"/>
      <c r="AC84" s="302">
        <f t="shared" si="18"/>
        <v>0</v>
      </c>
      <c r="AD84" s="302">
        <f t="shared" si="18"/>
        <v>0</v>
      </c>
      <c r="AE84" s="302">
        <f t="shared" si="18"/>
        <v>0</v>
      </c>
      <c r="AF84" s="302">
        <f t="shared" si="18"/>
        <v>0</v>
      </c>
      <c r="AG84" s="302">
        <f t="shared" si="18"/>
        <v>0</v>
      </c>
      <c r="AH84" s="302">
        <f t="shared" si="18"/>
        <v>0</v>
      </c>
      <c r="AI84" s="302">
        <f t="shared" si="18"/>
        <v>0</v>
      </c>
      <c r="AJ84" s="302">
        <f t="shared" si="18"/>
        <v>0</v>
      </c>
      <c r="AK84" s="302">
        <f t="shared" si="18"/>
        <v>0</v>
      </c>
      <c r="AL84" s="302">
        <f t="shared" si="18"/>
        <v>0</v>
      </c>
      <c r="AM84" s="302">
        <f t="shared" si="18"/>
        <v>0</v>
      </c>
    </row>
    <row r="85" spans="4:39" x14ac:dyDescent="0.3">
      <c r="D85" s="89" t="s">
        <v>68</v>
      </c>
      <c r="F85" s="301">
        <f>'[4]MFR E-6'!$AD$17</f>
        <v>287770.12378034816</v>
      </c>
      <c r="G85" s="301">
        <f>'[4]MFR E-6'!$AE$17</f>
        <v>212501.14145386397</v>
      </c>
      <c r="H85" s="301">
        <f>'[4]MFR E-6'!$AF$17</f>
        <v>18509.178932438626</v>
      </c>
      <c r="I85" s="301">
        <f>'[4]MFR E-6'!$AG$17</f>
        <v>478.09110757191365</v>
      </c>
      <c r="J85" s="301">
        <f>'[4]MFR E-6'!$AH$17</f>
        <v>45463.432273516199</v>
      </c>
      <c r="K85" s="301">
        <f>'[4]MFR E-6'!$AR$17</f>
        <v>165.40161269094125</v>
      </c>
      <c r="L85" s="301">
        <f>'[4]MFR E-6'!$AQ$17</f>
        <v>2499.0183973789321</v>
      </c>
      <c r="M85" s="301">
        <f>'[4]MFR E-6'!$AJ$17</f>
        <v>1217.0710982788614</v>
      </c>
      <c r="N85" s="301">
        <f>'[4]MFR E-6'!$AK$17</f>
        <v>0</v>
      </c>
      <c r="O85" s="301">
        <f>'[4]MFR E-6'!$AL$17</f>
        <v>6936.7889046087275</v>
      </c>
      <c r="P85" s="302">
        <f t="shared" si="19"/>
        <v>0</v>
      </c>
      <c r="Q85" s="301">
        <f>'[4]MFR E-6'!$H$17</f>
        <v>304362.27557934908</v>
      </c>
      <c r="R85" s="301">
        <f>'[4]MFR E-6'!$I$17</f>
        <v>233446.54966069188</v>
      </c>
      <c r="S85" s="301">
        <f>'[4]MFR E-6'!$J$17</f>
        <v>19380.935084150333</v>
      </c>
      <c r="T85" s="301">
        <f>'[4]MFR E-6'!$K$17</f>
        <v>393.03665719655271</v>
      </c>
      <c r="U85" s="301">
        <f>'[4]MFR E-6'!$L$17</f>
        <v>43219.939343753191</v>
      </c>
      <c r="V85" s="301">
        <f>'[4]MFR E-6'!$V$17</f>
        <v>0</v>
      </c>
      <c r="W85" s="301">
        <f>'[4]MFR E-6'!$U$17</f>
        <v>1318.4735671693124</v>
      </c>
      <c r="X85" s="301">
        <f>'[4]MFR E-6'!$N$17</f>
        <v>1315.3418009765114</v>
      </c>
      <c r="Y85" s="301">
        <f>'[4]MFR E-6'!$O$17</f>
        <v>0</v>
      </c>
      <c r="Z85" s="301">
        <f>'[4]MFR E-6'!$P$17</f>
        <v>5287.9994654113689</v>
      </c>
      <c r="AA85" s="302">
        <f t="shared" si="20"/>
        <v>0</v>
      </c>
      <c r="AB85" s="290"/>
      <c r="AC85" s="302">
        <f t="shared" si="18"/>
        <v>16592.151799000916</v>
      </c>
      <c r="AD85" s="302">
        <f t="shared" si="18"/>
        <v>20945.408206827909</v>
      </c>
      <c r="AE85" s="302">
        <f t="shared" si="18"/>
        <v>871.75615171170648</v>
      </c>
      <c r="AF85" s="302">
        <f t="shared" si="18"/>
        <v>-85.054450375360943</v>
      </c>
      <c r="AG85" s="302">
        <f t="shared" si="18"/>
        <v>-2243.4929297630079</v>
      </c>
      <c r="AH85" s="302">
        <f t="shared" si="18"/>
        <v>-165.40161269094125</v>
      </c>
      <c r="AI85" s="302">
        <f t="shared" si="18"/>
        <v>-1180.5448302096197</v>
      </c>
      <c r="AJ85" s="302">
        <f t="shared" si="18"/>
        <v>98.270702697649995</v>
      </c>
      <c r="AK85" s="302">
        <f t="shared" si="18"/>
        <v>0</v>
      </c>
      <c r="AL85" s="302">
        <f t="shared" si="18"/>
        <v>-1648.7894391973587</v>
      </c>
      <c r="AM85" s="302">
        <f t="shared" si="18"/>
        <v>0</v>
      </c>
    </row>
    <row r="86" spans="4:39" x14ac:dyDescent="0.3">
      <c r="D86" s="89" t="s">
        <v>286</v>
      </c>
      <c r="F86" s="301">
        <f>'[4]MFR E-6'!$AD$18</f>
        <v>0</v>
      </c>
      <c r="G86" s="301">
        <f>'[4]MFR E-6'!$AE$18</f>
        <v>0</v>
      </c>
      <c r="H86" s="301">
        <f>'[4]MFR E-6'!$AF$18</f>
        <v>0</v>
      </c>
      <c r="I86" s="301">
        <f>'[4]MFR E-6'!$AG$18</f>
        <v>0</v>
      </c>
      <c r="J86" s="301">
        <f>'[4]MFR E-6'!$AH$18</f>
        <v>0</v>
      </c>
      <c r="K86" s="301">
        <f>'[4]MFR E-6'!$AR$18</f>
        <v>0</v>
      </c>
      <c r="L86" s="301">
        <f>'[4]MFR E-6'!$AQ$18</f>
        <v>0</v>
      </c>
      <c r="M86" s="301">
        <f>'[4]MFR E-6'!$AJ$18</f>
        <v>0</v>
      </c>
      <c r="N86" s="301">
        <f>'[4]MFR E-6'!$AK$18</f>
        <v>0</v>
      </c>
      <c r="O86" s="301">
        <f>'[4]MFR E-6'!$AL$18</f>
        <v>0</v>
      </c>
      <c r="P86" s="302">
        <f t="shared" si="19"/>
        <v>0</v>
      </c>
      <c r="Q86" s="301">
        <f>'[4]MFR E-6'!$H$18</f>
        <v>0</v>
      </c>
      <c r="R86" s="301">
        <f>'[4]MFR E-6'!$I$18</f>
        <v>0</v>
      </c>
      <c r="S86" s="301">
        <f>'[4]MFR E-6'!$J$18</f>
        <v>0</v>
      </c>
      <c r="T86" s="301">
        <f>'[4]MFR E-6'!$K$18</f>
        <v>0</v>
      </c>
      <c r="U86" s="301">
        <f>'[4]MFR E-6'!$L$18</f>
        <v>0</v>
      </c>
      <c r="V86" s="301">
        <f>'[4]MFR E-6'!$V$18</f>
        <v>0</v>
      </c>
      <c r="W86" s="301">
        <f>'[4]MFR E-6'!$U$18</f>
        <v>0</v>
      </c>
      <c r="X86" s="301">
        <f>'[4]MFR E-6'!$N$18</f>
        <v>0</v>
      </c>
      <c r="Y86" s="301">
        <f>'[4]MFR E-6'!$O$18</f>
        <v>0</v>
      </c>
      <c r="Z86" s="301">
        <f>'[4]MFR E-6'!$P$18</f>
        <v>0</v>
      </c>
      <c r="AA86" s="302">
        <f t="shared" si="20"/>
        <v>0</v>
      </c>
      <c r="AB86" s="290"/>
      <c r="AC86" s="302">
        <f t="shared" si="18"/>
        <v>0</v>
      </c>
      <c r="AD86" s="302">
        <f t="shared" si="18"/>
        <v>0</v>
      </c>
      <c r="AE86" s="302">
        <f t="shared" si="18"/>
        <v>0</v>
      </c>
      <c r="AF86" s="302">
        <f t="shared" si="18"/>
        <v>0</v>
      </c>
      <c r="AG86" s="302">
        <f t="shared" si="18"/>
        <v>0</v>
      </c>
      <c r="AH86" s="302">
        <f t="shared" si="18"/>
        <v>0</v>
      </c>
      <c r="AI86" s="302">
        <f t="shared" si="18"/>
        <v>0</v>
      </c>
      <c r="AJ86" s="302">
        <f t="shared" si="18"/>
        <v>0</v>
      </c>
      <c r="AK86" s="302">
        <f t="shared" si="18"/>
        <v>0</v>
      </c>
      <c r="AL86" s="302">
        <f t="shared" si="18"/>
        <v>0</v>
      </c>
      <c r="AM86" s="302">
        <f t="shared" si="18"/>
        <v>0</v>
      </c>
    </row>
    <row r="87" spans="4:39" x14ac:dyDescent="0.3">
      <c r="D87" s="89" t="s">
        <v>70</v>
      </c>
      <c r="F87" s="301">
        <f>'[4]MFR E-6'!$AD$19</f>
        <v>59827.401212048389</v>
      </c>
      <c r="G87" s="301">
        <f>'[4]MFR E-6'!$AE$19</f>
        <v>48709.572765033088</v>
      </c>
      <c r="H87" s="301">
        <f>'[4]MFR E-6'!$AF$19</f>
        <v>3915.321603691461</v>
      </c>
      <c r="I87" s="301">
        <f>'[4]MFR E-6'!$AG$19</f>
        <v>361.03242773899296</v>
      </c>
      <c r="J87" s="301">
        <f>'[4]MFR E-6'!$AH$19</f>
        <v>4925.4891294003546</v>
      </c>
      <c r="K87" s="301">
        <f>'[4]MFR E-6'!$AR$19</f>
        <v>49.188496621105024</v>
      </c>
      <c r="L87" s="301">
        <f>'[4]MFR E-6'!$AQ$19</f>
        <v>451.7395703686866</v>
      </c>
      <c r="M87" s="301">
        <f>'[4]MFR E-6'!$AJ$19</f>
        <v>1415.0572191946842</v>
      </c>
      <c r="N87" s="301">
        <f>'[4]MFR E-6'!$AK$19</f>
        <v>0</v>
      </c>
      <c r="O87" s="301">
        <f>'[4]MFR E-6'!$AL$19</f>
        <v>0</v>
      </c>
      <c r="P87" s="302">
        <f t="shared" si="19"/>
        <v>0</v>
      </c>
      <c r="Q87" s="301">
        <f>'[4]MFR E-6'!$H$19</f>
        <v>57215.054860972647</v>
      </c>
      <c r="R87" s="301">
        <f>'[4]MFR E-6'!$I$19</f>
        <v>50024.200030608488</v>
      </c>
      <c r="S87" s="301">
        <f>'[4]MFR E-6'!$J$19</f>
        <v>3635.4591176734293</v>
      </c>
      <c r="T87" s="301">
        <f>'[4]MFR E-6'!$K$19</f>
        <v>410.05516848394291</v>
      </c>
      <c r="U87" s="301">
        <f>'[4]MFR E-6'!$L$19</f>
        <v>1341.6361901744424</v>
      </c>
      <c r="V87" s="301">
        <f>'[4]MFR E-6'!$V$19</f>
        <v>1.5387039776516565E-2</v>
      </c>
      <c r="W87" s="301">
        <f>'[4]MFR E-6'!$U$19</f>
        <v>1.8581815634573728</v>
      </c>
      <c r="X87" s="301">
        <f>'[4]MFR E-6'!$N$19</f>
        <v>1801.8307854290877</v>
      </c>
      <c r="Y87" s="301">
        <f>'[4]MFR E-6'!$O$19</f>
        <v>0</v>
      </c>
      <c r="Z87" s="301">
        <f>'[4]MFR E-6'!$P$19</f>
        <v>0</v>
      </c>
      <c r="AA87" s="302">
        <f t="shared" si="20"/>
        <v>0</v>
      </c>
      <c r="AB87" s="290"/>
      <c r="AC87" s="302">
        <f t="shared" si="18"/>
        <v>-2612.3463510757429</v>
      </c>
      <c r="AD87" s="302">
        <f t="shared" si="18"/>
        <v>1314.6272655754001</v>
      </c>
      <c r="AE87" s="302">
        <f t="shared" si="18"/>
        <v>-279.86248601803163</v>
      </c>
      <c r="AF87" s="302">
        <f t="shared" si="18"/>
        <v>49.022740744949942</v>
      </c>
      <c r="AG87" s="302">
        <f t="shared" si="18"/>
        <v>-3583.8529392259125</v>
      </c>
      <c r="AH87" s="302">
        <f t="shared" si="18"/>
        <v>-49.173109581328511</v>
      </c>
      <c r="AI87" s="302">
        <f t="shared" si="18"/>
        <v>-449.88138880522922</v>
      </c>
      <c r="AJ87" s="302">
        <f t="shared" si="18"/>
        <v>386.77356623440346</v>
      </c>
      <c r="AK87" s="302">
        <f t="shared" si="18"/>
        <v>0</v>
      </c>
      <c r="AL87" s="302">
        <f t="shared" si="18"/>
        <v>0</v>
      </c>
      <c r="AM87" s="302">
        <f t="shared" si="18"/>
        <v>0</v>
      </c>
    </row>
    <row r="88" spans="4:39" x14ac:dyDescent="0.3">
      <c r="D88" s="89" t="s">
        <v>71</v>
      </c>
      <c r="F88" s="301">
        <f>'[4]MFR E-6'!$AD$20</f>
        <v>88074.899968912592</v>
      </c>
      <c r="G88" s="301">
        <f>'[4]MFR E-6'!$AE$20</f>
        <v>68513.313054305807</v>
      </c>
      <c r="H88" s="301">
        <f>'[4]MFR E-6'!$AF$20</f>
        <v>7007.9663537936249</v>
      </c>
      <c r="I88" s="301">
        <f>'[4]MFR E-6'!$AG$20</f>
        <v>546.07129713266602</v>
      </c>
      <c r="J88" s="301">
        <f>'[4]MFR E-6'!$AH$20</f>
        <v>8968.7624973255097</v>
      </c>
      <c r="K88" s="301">
        <f>'[4]MFR E-6'!$AR$20</f>
        <v>69.088390539386822</v>
      </c>
      <c r="L88" s="301">
        <f>'[4]MFR E-6'!$AQ$20</f>
        <v>607.74058710392535</v>
      </c>
      <c r="M88" s="301">
        <f>'[4]MFR E-6'!$AJ$20</f>
        <v>2361.9577887116816</v>
      </c>
      <c r="N88" s="301">
        <f>'[4]MFR E-6'!$AK$20</f>
        <v>0</v>
      </c>
      <c r="O88" s="301">
        <f>'[4]MFR E-6'!$AL$20</f>
        <v>0</v>
      </c>
      <c r="P88" s="302">
        <f t="shared" si="19"/>
        <v>0</v>
      </c>
      <c r="Q88" s="301">
        <f>'[4]MFR E-6'!$H$20</f>
        <v>93717.829638233379</v>
      </c>
      <c r="R88" s="301">
        <f>'[4]MFR E-6'!$I$20</f>
        <v>75664.981068649824</v>
      </c>
      <c r="S88" s="301">
        <f>'[4]MFR E-6'!$J$20</f>
        <v>7684.3594485393569</v>
      </c>
      <c r="T88" s="301">
        <f>'[4]MFR E-6'!$K$20</f>
        <v>653.63194668284893</v>
      </c>
      <c r="U88" s="301">
        <f>'[4]MFR E-6'!$L$20</f>
        <v>6451.5732359050926</v>
      </c>
      <c r="V88" s="301">
        <f>'[4]MFR E-6'!$V$20</f>
        <v>22.836090910902598</v>
      </c>
      <c r="W88" s="301">
        <f>'[4]MFR E-6'!$U$20</f>
        <v>175.69971091493019</v>
      </c>
      <c r="X88" s="301">
        <f>'[4]MFR E-6'!$N$20</f>
        <v>3064.7481366304246</v>
      </c>
      <c r="Y88" s="301">
        <f>'[4]MFR E-6'!$O$20</f>
        <v>0</v>
      </c>
      <c r="Z88" s="301">
        <f>'[4]MFR E-6'!$P$20</f>
        <v>0</v>
      </c>
      <c r="AA88" s="302">
        <f t="shared" si="20"/>
        <v>0</v>
      </c>
      <c r="AB88" s="290"/>
      <c r="AC88" s="302">
        <f t="shared" si="18"/>
        <v>5642.9296693207871</v>
      </c>
      <c r="AD88" s="302">
        <f t="shared" si="18"/>
        <v>7151.6680143440171</v>
      </c>
      <c r="AE88" s="302">
        <f t="shared" si="18"/>
        <v>676.39309474573201</v>
      </c>
      <c r="AF88" s="302">
        <f t="shared" si="18"/>
        <v>107.56064955018292</v>
      </c>
      <c r="AG88" s="302">
        <f t="shared" si="18"/>
        <v>-2517.1892614204171</v>
      </c>
      <c r="AH88" s="302">
        <f t="shared" si="18"/>
        <v>-46.252299628484224</v>
      </c>
      <c r="AI88" s="302">
        <f t="shared" si="18"/>
        <v>-432.04087618899518</v>
      </c>
      <c r="AJ88" s="302">
        <f t="shared" si="18"/>
        <v>702.79034791874301</v>
      </c>
      <c r="AK88" s="302">
        <f t="shared" si="18"/>
        <v>0</v>
      </c>
      <c r="AL88" s="302">
        <f t="shared" si="18"/>
        <v>0</v>
      </c>
      <c r="AM88" s="302">
        <f t="shared" si="18"/>
        <v>0</v>
      </c>
    </row>
    <row r="89" spans="4:39" x14ac:dyDescent="0.3">
      <c r="D89" s="89" t="s">
        <v>72</v>
      </c>
      <c r="F89" s="301">
        <f>'[4]MFR E-6'!$AD$21</f>
        <v>484.15416792628986</v>
      </c>
      <c r="G89" s="301">
        <f>'[4]MFR E-6'!$AE$21</f>
        <v>65.44780032496584</v>
      </c>
      <c r="H89" s="301">
        <f>'[4]MFR E-6'!$AF$21</f>
        <v>6.9183746709706719</v>
      </c>
      <c r="I89" s="301">
        <f>'[4]MFR E-6'!$AG$21</f>
        <v>0.31621418947988339</v>
      </c>
      <c r="J89" s="301">
        <f>'[4]MFR E-6'!$AH$21</f>
        <v>22.598545381677496</v>
      </c>
      <c r="K89" s="301">
        <f>'[4]MFR E-6'!$AR$21</f>
        <v>0.2832211658256345</v>
      </c>
      <c r="L89" s="301">
        <f>'[4]MFR E-6'!$AQ$21</f>
        <v>388.18744021648723</v>
      </c>
      <c r="M89" s="301">
        <f>'[4]MFR E-6'!$AJ$21</f>
        <v>0.40257197688313684</v>
      </c>
      <c r="N89" s="301">
        <f>'[4]MFR E-6'!$AK$21</f>
        <v>0</v>
      </c>
      <c r="O89" s="301">
        <f>'[4]MFR E-6'!$AL$21</f>
        <v>0</v>
      </c>
      <c r="P89" s="302">
        <f t="shared" si="19"/>
        <v>0</v>
      </c>
      <c r="Q89" s="301">
        <f>'[4]MFR E-6'!$H$21</f>
        <v>516.50092083068989</v>
      </c>
      <c r="R89" s="301">
        <f>'[4]MFR E-6'!$I$21</f>
        <v>0</v>
      </c>
      <c r="S89" s="301">
        <f>'[4]MFR E-6'!$J$21</f>
        <v>0</v>
      </c>
      <c r="T89" s="301">
        <f>'[4]MFR E-6'!$K$21</f>
        <v>0</v>
      </c>
      <c r="U89" s="301">
        <f>'[4]MFR E-6'!$L$21</f>
        <v>0</v>
      </c>
      <c r="V89" s="301">
        <f>'[4]MFR E-6'!$V$21</f>
        <v>0</v>
      </c>
      <c r="W89" s="301">
        <f>'[4]MFR E-6'!$U$21</f>
        <v>516.50092083068989</v>
      </c>
      <c r="X89" s="301">
        <f>'[4]MFR E-6'!$N$21</f>
        <v>0</v>
      </c>
      <c r="Y89" s="301">
        <f>'[4]MFR E-6'!$O$21</f>
        <v>0</v>
      </c>
      <c r="Z89" s="301">
        <f>'[4]MFR E-6'!$P$21</f>
        <v>0</v>
      </c>
      <c r="AA89" s="302">
        <f t="shared" si="20"/>
        <v>0</v>
      </c>
      <c r="AB89" s="290"/>
      <c r="AC89" s="302">
        <f t="shared" si="18"/>
        <v>32.346752904400034</v>
      </c>
      <c r="AD89" s="302">
        <f t="shared" si="18"/>
        <v>-65.44780032496584</v>
      </c>
      <c r="AE89" s="302">
        <f t="shared" si="18"/>
        <v>-6.9183746709706719</v>
      </c>
      <c r="AF89" s="302">
        <f t="shared" si="18"/>
        <v>-0.31621418947988339</v>
      </c>
      <c r="AG89" s="302">
        <f t="shared" si="18"/>
        <v>-22.598545381677496</v>
      </c>
      <c r="AH89" s="302">
        <f t="shared" si="18"/>
        <v>-0.2832211658256345</v>
      </c>
      <c r="AI89" s="302">
        <f t="shared" si="18"/>
        <v>128.31348061420266</v>
      </c>
      <c r="AJ89" s="302">
        <f t="shared" si="18"/>
        <v>-0.40257197688313684</v>
      </c>
      <c r="AK89" s="302">
        <f t="shared" si="18"/>
        <v>0</v>
      </c>
      <c r="AL89" s="302">
        <f t="shared" si="18"/>
        <v>0</v>
      </c>
      <c r="AM89" s="302">
        <f t="shared" si="18"/>
        <v>0</v>
      </c>
    </row>
    <row r="90" spans="4:39" x14ac:dyDescent="0.3">
      <c r="D90" s="89" t="s">
        <v>73</v>
      </c>
      <c r="F90" s="301">
        <f>'[4]MFR E-6'!$AD$22</f>
        <v>110880.30097680372</v>
      </c>
      <c r="G90" s="301">
        <f>'[4]MFR E-6'!$AE$22</f>
        <v>0</v>
      </c>
      <c r="H90" s="301">
        <f>'[4]MFR E-6'!$AF$22</f>
        <v>0</v>
      </c>
      <c r="I90" s="301">
        <f>'[4]MFR E-6'!$AG$22</f>
        <v>0</v>
      </c>
      <c r="J90" s="301">
        <f>'[4]MFR E-6'!$AH$22</f>
        <v>0</v>
      </c>
      <c r="K90" s="301">
        <f>'[4]MFR E-6'!$AR$22</f>
        <v>0</v>
      </c>
      <c r="L90" s="301">
        <f>'[4]MFR E-6'!$AQ$22</f>
        <v>0</v>
      </c>
      <c r="M90" s="301">
        <f>'[4]MFR E-6'!$AJ$22</f>
        <v>0</v>
      </c>
      <c r="N90" s="301">
        <f>'[4]MFR E-6'!$AK$22</f>
        <v>110880.30097680372</v>
      </c>
      <c r="O90" s="301">
        <f>'[4]MFR E-6'!$AL$22</f>
        <v>0</v>
      </c>
      <c r="P90" s="302">
        <f t="shared" si="19"/>
        <v>0</v>
      </c>
      <c r="Q90" s="301">
        <f>'[4]MFR E-6'!$H$22</f>
        <v>118476.67648133512</v>
      </c>
      <c r="R90" s="301">
        <f>'[4]MFR E-6'!$I$22</f>
        <v>0</v>
      </c>
      <c r="S90" s="301">
        <f>'[4]MFR E-6'!$J$22</f>
        <v>0</v>
      </c>
      <c r="T90" s="301">
        <f>'[4]MFR E-6'!$K$22</f>
        <v>0</v>
      </c>
      <c r="U90" s="301">
        <f>'[4]MFR E-6'!$L$22</f>
        <v>0</v>
      </c>
      <c r="V90" s="301">
        <f>'[4]MFR E-6'!$V$22</f>
        <v>0</v>
      </c>
      <c r="W90" s="301">
        <f>'[4]MFR E-6'!$U$22</f>
        <v>0</v>
      </c>
      <c r="X90" s="301">
        <f>'[4]MFR E-6'!$N$22</f>
        <v>0</v>
      </c>
      <c r="Y90" s="301">
        <f>'[4]MFR E-6'!$O$22</f>
        <v>118476.67648133512</v>
      </c>
      <c r="Z90" s="301">
        <f>'[4]MFR E-6'!$P$22</f>
        <v>0</v>
      </c>
      <c r="AA90" s="302">
        <f t="shared" si="20"/>
        <v>0</v>
      </c>
      <c r="AB90" s="290"/>
      <c r="AC90" s="302">
        <f t="shared" si="18"/>
        <v>7596.3755045314028</v>
      </c>
      <c r="AD90" s="302">
        <f t="shared" si="18"/>
        <v>0</v>
      </c>
      <c r="AE90" s="302">
        <f t="shared" si="18"/>
        <v>0</v>
      </c>
      <c r="AF90" s="302">
        <f t="shared" si="18"/>
        <v>0</v>
      </c>
      <c r="AG90" s="302">
        <f t="shared" si="18"/>
        <v>0</v>
      </c>
      <c r="AH90" s="302">
        <f t="shared" si="18"/>
        <v>0</v>
      </c>
      <c r="AI90" s="302">
        <f t="shared" si="18"/>
        <v>0</v>
      </c>
      <c r="AJ90" s="302">
        <f t="shared" si="18"/>
        <v>0</v>
      </c>
      <c r="AK90" s="302">
        <f t="shared" si="18"/>
        <v>7596.3755045314028</v>
      </c>
      <c r="AL90" s="302">
        <f t="shared" si="18"/>
        <v>0</v>
      </c>
      <c r="AM90" s="302">
        <f t="shared" si="18"/>
        <v>0</v>
      </c>
    </row>
    <row r="91" spans="4:39" x14ac:dyDescent="0.3">
      <c r="D91" s="89" t="s">
        <v>75</v>
      </c>
      <c r="F91" s="301">
        <f>'[4]MFR E-6'!$AD$23</f>
        <v>207266.8724862533</v>
      </c>
      <c r="G91" s="301">
        <f>'[4]MFR E-6'!$AE$23</f>
        <v>171951.77270969999</v>
      </c>
      <c r="H91" s="301">
        <f>'[4]MFR E-6'!$AF$23</f>
        <v>13470.48238438587</v>
      </c>
      <c r="I91" s="301">
        <f>'[4]MFR E-6'!$AG$23</f>
        <v>1311.4992677613534</v>
      </c>
      <c r="J91" s="301">
        <f>'[4]MFR E-6'!$AH$23</f>
        <v>13917.17472725138</v>
      </c>
      <c r="K91" s="301">
        <f>'[4]MFR E-6'!$AR$23</f>
        <v>126.56049535790756</v>
      </c>
      <c r="L91" s="301">
        <f>'[4]MFR E-6'!$AQ$23</f>
        <v>1165.641932257055</v>
      </c>
      <c r="M91" s="301">
        <f>'[4]MFR E-6'!$AJ$23</f>
        <v>5323.7409695397319</v>
      </c>
      <c r="N91" s="301">
        <f>'[4]MFR E-6'!$AK$23</f>
        <v>0</v>
      </c>
      <c r="O91" s="301">
        <f>'[4]MFR E-6'!$AL$23</f>
        <v>0</v>
      </c>
      <c r="P91" s="302">
        <f t="shared" si="19"/>
        <v>0</v>
      </c>
      <c r="Q91" s="301">
        <f>'[4]MFR E-6'!$H$23</f>
        <v>221578.64932257248</v>
      </c>
      <c r="R91" s="301">
        <f>'[4]MFR E-6'!$I$23</f>
        <v>193060.89379746799</v>
      </c>
      <c r="S91" s="301">
        <f>'[4]MFR E-6'!$J$23</f>
        <v>13951.749722207953</v>
      </c>
      <c r="T91" s="301">
        <f>'[4]MFR E-6'!$K$23</f>
        <v>1581.4647382261169</v>
      </c>
      <c r="U91" s="301">
        <f>'[4]MFR E-6'!$L$23</f>
        <v>5890.148194708011</v>
      </c>
      <c r="V91" s="301">
        <f>'[4]MFR E-6'!$V$23</f>
        <v>7.8359393383934162</v>
      </c>
      <c r="W91" s="301">
        <f>'[4]MFR E-6'!$U$23</f>
        <v>153.67541178203808</v>
      </c>
      <c r="X91" s="301">
        <f>'[4]MFR E-6'!$N$23</f>
        <v>6932.8815316246219</v>
      </c>
      <c r="Y91" s="301">
        <f>'[4]MFR E-6'!$O$23</f>
        <v>0</v>
      </c>
      <c r="Z91" s="301">
        <f>'[4]MFR E-6'!$P$23</f>
        <v>0</v>
      </c>
      <c r="AA91" s="302">
        <f t="shared" si="20"/>
        <v>-1.2782635167241096E-5</v>
      </c>
      <c r="AB91" s="290"/>
      <c r="AC91" s="302">
        <f t="shared" si="18"/>
        <v>14311.776836319186</v>
      </c>
      <c r="AD91" s="302">
        <f t="shared" si="18"/>
        <v>21109.121087767999</v>
      </c>
      <c r="AE91" s="302">
        <f t="shared" si="18"/>
        <v>481.26733782208248</v>
      </c>
      <c r="AF91" s="302">
        <f t="shared" si="18"/>
        <v>269.96547046476348</v>
      </c>
      <c r="AG91" s="302">
        <f t="shared" si="18"/>
        <v>-8027.0265325433693</v>
      </c>
      <c r="AH91" s="302">
        <f t="shared" si="18"/>
        <v>-118.72455601951414</v>
      </c>
      <c r="AI91" s="302">
        <f t="shared" si="18"/>
        <v>-1011.966520475017</v>
      </c>
      <c r="AJ91" s="302">
        <f t="shared" si="18"/>
        <v>1609.14056208489</v>
      </c>
      <c r="AK91" s="302">
        <f t="shared" si="18"/>
        <v>0</v>
      </c>
      <c r="AL91" s="302">
        <f t="shared" si="18"/>
        <v>0</v>
      </c>
      <c r="AM91" s="302">
        <f t="shared" si="18"/>
        <v>-1.2782635167241096E-5</v>
      </c>
    </row>
    <row r="92" spans="4:39" ht="15" thickBot="1" x14ac:dyDescent="0.35">
      <c r="D92" s="278" t="s">
        <v>77</v>
      </c>
      <c r="F92" s="303">
        <f>+'[4]1-Summary (present rev)'!$H$43</f>
        <v>3581136.9198830184</v>
      </c>
      <c r="G92" s="303">
        <f>+'[4]1-Summary (present rev)'!$I$43</f>
        <v>2285222.8007338969</v>
      </c>
      <c r="H92" s="303">
        <f>+'[4]1-Summary (present rev)'!$J$43</f>
        <v>206600.96487524602</v>
      </c>
      <c r="I92" s="303">
        <f>+'[4]1-Summary (present rev)'!$K$43</f>
        <v>12142.985960971013</v>
      </c>
      <c r="J92" s="303">
        <f>+'[4]1-Summary (present rev)'!$L$43</f>
        <v>821217.43468703225</v>
      </c>
      <c r="K92" s="303">
        <f>+'[4]1-Summary (present rev)'!$M$43</f>
        <v>9832.0476814477315</v>
      </c>
      <c r="L92" s="303">
        <f>+'[4]1-Summary (present rev)'!$N$43</f>
        <v>107742.04297207674</v>
      </c>
      <c r="M92" s="303">
        <f>+'[4]1-Summary (present rev)'!$O$43</f>
        <v>20561.555907092217</v>
      </c>
      <c r="N92" s="303">
        <f>+'[4]1-Summary (present rev)'!$P$43</f>
        <v>110880.30097680372</v>
      </c>
      <c r="O92" s="303">
        <f>+'[4]1-Summary (present rev)'!$Q$43</f>
        <v>6936.7889046087275</v>
      </c>
      <c r="P92" s="302">
        <f t="shared" si="19"/>
        <v>-2.8161564841866493E-3</v>
      </c>
      <c r="Q92" s="303">
        <f>'[4]MFR E-6'!$H$25</f>
        <v>3791019.123102413</v>
      </c>
      <c r="R92" s="303">
        <f>'[4]MFR E-6'!$I$25</f>
        <v>2417194.4897487205</v>
      </c>
      <c r="S92" s="303">
        <f>'[4]MFR E-6'!$J$25</f>
        <v>209000.77532449074</v>
      </c>
      <c r="T92" s="303">
        <f>'[4]MFR E-6'!$K$25</f>
        <v>13142.792488866082</v>
      </c>
      <c r="U92" s="303">
        <f>'[4]MFR E-6'!$L$25</f>
        <v>875604.80511614867</v>
      </c>
      <c r="V92" s="303">
        <f>'[4]MFR E-6'!$V$25</f>
        <v>10371.475823843162</v>
      </c>
      <c r="W92" s="303">
        <f>'[4]MFR E-6'!$U$25</f>
        <v>118217.78433991181</v>
      </c>
      <c r="X92" s="303">
        <f>'[4]MFR E-6'!$N$25</f>
        <v>23722.324326467548</v>
      </c>
      <c r="Y92" s="303">
        <f>'[4]MFR E-6'!$O$25</f>
        <v>118476.67648133512</v>
      </c>
      <c r="Z92" s="303">
        <f>'[4]MFR E-6'!$P$25</f>
        <v>5287.9994654113689</v>
      </c>
      <c r="AA92" s="302">
        <f>+Q92-SUM(R92:Z92)</f>
        <v>-1.2782402336597443E-5</v>
      </c>
      <c r="AB92" s="290"/>
      <c r="AC92" s="304">
        <f>SUM(AC80:AC91)</f>
        <v>209882.19980399491</v>
      </c>
      <c r="AD92" s="304">
        <f t="shared" ref="AD92:AM92" si="21">SUM(AD80:AD91)</f>
        <v>131971.67741208611</v>
      </c>
      <c r="AE92" s="304">
        <f t="shared" si="21"/>
        <v>2399.8104492447119</v>
      </c>
      <c r="AF92" s="304">
        <f t="shared" si="21"/>
        <v>999.80652789506644</v>
      </c>
      <c r="AG92" s="304">
        <f t="shared" si="21"/>
        <v>54387.370429116294</v>
      </c>
      <c r="AH92" s="304">
        <f t="shared" si="21"/>
        <v>539.42814239543281</v>
      </c>
      <c r="AI92" s="304">
        <f t="shared" si="21"/>
        <v>10475.741367835079</v>
      </c>
      <c r="AJ92" s="304">
        <f t="shared" si="21"/>
        <v>3160.768419375333</v>
      </c>
      <c r="AK92" s="304">
        <f t="shared" si="21"/>
        <v>7596.3755045314028</v>
      </c>
      <c r="AL92" s="304">
        <f t="shared" si="21"/>
        <v>-1648.7894391973587</v>
      </c>
      <c r="AM92" s="304">
        <f t="shared" si="21"/>
        <v>1.0990712326020002E-2</v>
      </c>
    </row>
    <row r="93" spans="4:39" ht="15" thickTop="1" x14ac:dyDescent="0.3">
      <c r="F93" s="305">
        <f t="shared" ref="F93:N93" si="22">SUM(F80:F91)-F92</f>
        <v>3.4153996966779232E-3</v>
      </c>
      <c r="G93" s="305">
        <f t="shared" si="22"/>
        <v>1.1602737475186586E-2</v>
      </c>
      <c r="H93" s="305">
        <f t="shared" si="22"/>
        <v>0</v>
      </c>
      <c r="I93" s="305">
        <f t="shared" si="22"/>
        <v>0</v>
      </c>
      <c r="J93" s="305">
        <f t="shared" si="22"/>
        <v>0</v>
      </c>
      <c r="K93" s="305">
        <f t="shared" si="22"/>
        <v>0</v>
      </c>
      <c r="L93" s="305">
        <f t="shared" si="22"/>
        <v>0</v>
      </c>
      <c r="M93" s="305">
        <f t="shared" si="22"/>
        <v>0</v>
      </c>
      <c r="N93" s="305">
        <f t="shared" si="22"/>
        <v>0</v>
      </c>
      <c r="O93" s="305"/>
      <c r="Q93" s="305">
        <f t="shared" ref="Q93:Y93" si="23">SUM(Q80:Q91)-Q92</f>
        <v>0</v>
      </c>
      <c r="R93" s="305">
        <f t="shared" si="23"/>
        <v>0</v>
      </c>
      <c r="S93" s="305">
        <f t="shared" si="23"/>
        <v>0</v>
      </c>
      <c r="T93" s="305">
        <f t="shared" si="23"/>
        <v>0</v>
      </c>
      <c r="U93" s="305">
        <f t="shared" si="23"/>
        <v>0</v>
      </c>
      <c r="V93" s="305">
        <f t="shared" si="23"/>
        <v>0</v>
      </c>
      <c r="W93" s="305">
        <f t="shared" si="23"/>
        <v>0</v>
      </c>
      <c r="X93" s="305">
        <f t="shared" si="23"/>
        <v>0</v>
      </c>
      <c r="Y93" s="305">
        <f t="shared" si="23"/>
        <v>0</v>
      </c>
      <c r="Z93" s="305"/>
      <c r="AB93" s="290"/>
    </row>
    <row r="94" spans="4:39" ht="18" x14ac:dyDescent="0.3">
      <c r="D94" s="300"/>
      <c r="E94" s="300">
        <v>2026</v>
      </c>
      <c r="F94" s="292"/>
      <c r="G94" s="306"/>
      <c r="H94" s="306"/>
      <c r="I94" s="306"/>
      <c r="J94" s="306"/>
      <c r="K94" s="306"/>
      <c r="L94" s="306"/>
      <c r="M94" s="306"/>
      <c r="N94" s="306"/>
      <c r="O94" s="306"/>
      <c r="Q94" s="292"/>
      <c r="R94" s="292"/>
      <c r="S94" s="292"/>
      <c r="T94" s="292"/>
      <c r="U94" s="292"/>
      <c r="V94" s="292"/>
      <c r="X94" s="292"/>
      <c r="Y94" s="292"/>
      <c r="AB94" s="290"/>
    </row>
    <row r="95" spans="4:39" x14ac:dyDescent="0.3">
      <c r="D95" s="89" t="s">
        <v>285</v>
      </c>
      <c r="F95" s="301">
        <f>'[5]MFR E-6'!$AD$12</f>
        <v>1307509.3685934129</v>
      </c>
      <c r="G95" s="301">
        <f>'[5]MFR E-6'!$AE$12</f>
        <v>807478.57227851229</v>
      </c>
      <c r="H95" s="301">
        <f>'[5]MFR E-6'!$AF$12</f>
        <v>71220.035307283179</v>
      </c>
      <c r="I95" s="301">
        <f>'[5]MFR E-6'!$AG$12</f>
        <v>4576.2827900769435</v>
      </c>
      <c r="J95" s="301">
        <f>'[5]MFR E-6'!$AH$12</f>
        <v>363095.35165839066</v>
      </c>
      <c r="K95" s="301">
        <f>'[5]MFR E-6'!$AR$12</f>
        <v>4027.1288552677106</v>
      </c>
      <c r="L95" s="301">
        <f>'[5]MFR E-6'!$AQ$12</f>
        <v>55843.725132624648</v>
      </c>
      <c r="M95" s="301">
        <f>'[5]MFR E-6'!$AJ$12</f>
        <v>1268.2840875356103</v>
      </c>
      <c r="N95" s="301">
        <f>'[5]MFR E-6'!$AK$12</f>
        <v>0</v>
      </c>
      <c r="O95" s="301">
        <f>'[5]MFR E-6'!$AL$12</f>
        <v>0</v>
      </c>
      <c r="P95" s="302">
        <f>+F95-SUM(G95:O95)</f>
        <v>-1.1516278143972158E-2</v>
      </c>
      <c r="Q95" s="301">
        <f>'[5]MFR E-6'!$H$12</f>
        <v>1355003.9438274894</v>
      </c>
      <c r="R95" s="301">
        <f>'[5]MFR E-6'!$I$12</f>
        <v>836809.78558954236</v>
      </c>
      <c r="S95" s="301">
        <f>'[5]MFR E-6'!$J$12</f>
        <v>73807.064820283325</v>
      </c>
      <c r="T95" s="301">
        <f>'[5]MFR E-6'!$K$12</f>
        <v>4742.5138033962112</v>
      </c>
      <c r="U95" s="301">
        <f>'[5]MFR E-6'!$L$12</f>
        <v>376284.59520089376</v>
      </c>
      <c r="V95" s="301">
        <f>'[5]MFR E-6'!$V$12</f>
        <v>4173.4121469886668</v>
      </c>
      <c r="W95" s="301">
        <f>'[5]MFR E-6'!$U$12</f>
        <v>57872.218440872064</v>
      </c>
      <c r="X95" s="301">
        <f>'[5]MFR E-6'!$N$12</f>
        <v>1314.3538255126643</v>
      </c>
      <c r="Y95" s="301">
        <f>'[5]MFR E-6'!$O$12</f>
        <v>0</v>
      </c>
      <c r="Z95" s="301">
        <f>'[5]MFR E-6'!$P$12</f>
        <v>0</v>
      </c>
      <c r="AA95" s="302">
        <f>+Q95-SUM(R95:Z95)</f>
        <v>0</v>
      </c>
      <c r="AB95" s="290"/>
      <c r="AC95" s="302">
        <f t="shared" ref="AC95:AM106" si="24">Q95-F95</f>
        <v>47494.575234076474</v>
      </c>
      <c r="AD95" s="302">
        <f t="shared" si="24"/>
        <v>29331.213311030064</v>
      </c>
      <c r="AE95" s="302">
        <f t="shared" si="24"/>
        <v>2587.0295130001468</v>
      </c>
      <c r="AF95" s="302">
        <f t="shared" si="24"/>
        <v>166.23101331926773</v>
      </c>
      <c r="AG95" s="302">
        <f t="shared" si="24"/>
        <v>13189.2435425031</v>
      </c>
      <c r="AH95" s="302">
        <f t="shared" si="24"/>
        <v>146.28329172095619</v>
      </c>
      <c r="AI95" s="302">
        <f t="shared" si="24"/>
        <v>2028.4933082474163</v>
      </c>
      <c r="AJ95" s="302">
        <f t="shared" si="24"/>
        <v>46.069737977054046</v>
      </c>
      <c r="AK95" s="302">
        <f t="shared" si="24"/>
        <v>0</v>
      </c>
      <c r="AL95" s="302">
        <f t="shared" si="24"/>
        <v>0</v>
      </c>
      <c r="AM95" s="302">
        <f t="shared" si="24"/>
        <v>1.1516278143972158E-2</v>
      </c>
    </row>
    <row r="96" spans="4:39" x14ac:dyDescent="0.3">
      <c r="D96" s="89" t="s">
        <v>63</v>
      </c>
      <c r="F96" s="301">
        <f>'[5]MFR E-6'!$AD$13</f>
        <v>230681.35651887424</v>
      </c>
      <c r="G96" s="301">
        <f>'[5]MFR E-6'!$AE$13</f>
        <v>141107.17301271475</v>
      </c>
      <c r="H96" s="301">
        <f>'[5]MFR E-6'!$AF$13</f>
        <v>17737.090440442611</v>
      </c>
      <c r="I96" s="301">
        <f>'[5]MFR E-6'!$AG$13</f>
        <v>1032.8145073322787</v>
      </c>
      <c r="J96" s="301">
        <f>'[5]MFR E-6'!$AH$13</f>
        <v>58555.475930930945</v>
      </c>
      <c r="K96" s="301">
        <f>'[5]MFR E-6'!$AR$13</f>
        <v>1028.0757877674198</v>
      </c>
      <c r="L96" s="301">
        <f>'[5]MFR E-6'!$AQ$13</f>
        <v>8657.5950432412756</v>
      </c>
      <c r="M96" s="301">
        <f>'[5]MFR E-6'!$AJ$13</f>
        <v>2563.1311750078885</v>
      </c>
      <c r="N96" s="301">
        <f>'[5]MFR E-6'!$AK$13</f>
        <v>0</v>
      </c>
      <c r="O96" s="301">
        <f>'[5]MFR E-6'!$AL$13</f>
        <v>0</v>
      </c>
      <c r="P96" s="302">
        <f t="shared" ref="P96:P107" si="25">+F96-SUM(G96:O96)</f>
        <v>6.2143706600181758E-4</v>
      </c>
      <c r="Q96" s="301">
        <f>'[5]MFR E-6'!$H$13</f>
        <v>242346.76109518667</v>
      </c>
      <c r="R96" s="301">
        <f>'[5]MFR E-6'!$I$13</f>
        <v>127465.27095442278</v>
      </c>
      <c r="S96" s="301">
        <f>'[5]MFR E-6'!$J$13</f>
        <v>13509.150017237143</v>
      </c>
      <c r="T96" s="301">
        <f>'[5]MFR E-6'!$K$13</f>
        <v>1279.0746722753502</v>
      </c>
      <c r="U96" s="301">
        <f>'[5]MFR E-6'!$L$13</f>
        <v>81056.306265180698</v>
      </c>
      <c r="V96" s="301">
        <f>'[5]MFR E-6'!$V$13</f>
        <v>1258.231912914272</v>
      </c>
      <c r="W96" s="301">
        <f>'[5]MFR E-6'!$U$13</f>
        <v>15733.298592019362</v>
      </c>
      <c r="X96" s="301">
        <f>'[5]MFR E-6'!$N$13</f>
        <v>2045.4286811370559</v>
      </c>
      <c r="Y96" s="301">
        <f>'[5]MFR E-6'!$O$13</f>
        <v>0</v>
      </c>
      <c r="Z96" s="301">
        <f>'[5]MFR E-6'!$P$13</f>
        <v>0</v>
      </c>
      <c r="AA96" s="302">
        <f t="shared" ref="AA96:AA106" si="26">+Q96-SUM(R96:Z96)</f>
        <v>0</v>
      </c>
      <c r="AB96" s="290"/>
      <c r="AC96" s="302">
        <f t="shared" si="24"/>
        <v>11665.40457631243</v>
      </c>
      <c r="AD96" s="302">
        <f t="shared" si="24"/>
        <v>-13641.902058291962</v>
      </c>
      <c r="AE96" s="302">
        <f t="shared" si="24"/>
        <v>-4227.9404232054676</v>
      </c>
      <c r="AF96" s="302">
        <f t="shared" si="24"/>
        <v>246.26016494307146</v>
      </c>
      <c r="AG96" s="302">
        <f t="shared" si="24"/>
        <v>22500.830334249753</v>
      </c>
      <c r="AH96" s="302">
        <f t="shared" si="24"/>
        <v>230.15612514685222</v>
      </c>
      <c r="AI96" s="302">
        <f t="shared" si="24"/>
        <v>7075.7035487780868</v>
      </c>
      <c r="AJ96" s="302">
        <f t="shared" si="24"/>
        <v>-517.70249387083254</v>
      </c>
      <c r="AK96" s="302">
        <f t="shared" si="24"/>
        <v>0</v>
      </c>
      <c r="AL96" s="302">
        <f t="shared" si="24"/>
        <v>0</v>
      </c>
      <c r="AM96" s="302">
        <f t="shared" si="24"/>
        <v>-6.2143706600181758E-4</v>
      </c>
    </row>
    <row r="97" spans="4:39" x14ac:dyDescent="0.3">
      <c r="D97" s="89" t="s">
        <v>64</v>
      </c>
      <c r="F97" s="301">
        <f>'[5]MFR E-6'!$AD$14</f>
        <v>522484.11793794314</v>
      </c>
      <c r="G97" s="301">
        <f>'[5]MFR E-6'!$AE$14</f>
        <v>330889.11766409688</v>
      </c>
      <c r="H97" s="301">
        <f>'[5]MFR E-6'!$AF$14</f>
        <v>30046.217981484348</v>
      </c>
      <c r="I97" s="301">
        <f>'[5]MFR E-6'!$AG$14</f>
        <v>1733.419705488617</v>
      </c>
      <c r="J97" s="301">
        <f>'[5]MFR E-6'!$AH$14</f>
        <v>137905.60085199634</v>
      </c>
      <c r="K97" s="301">
        <f>'[5]MFR E-6'!$AR$14</f>
        <v>1514.5731000971412</v>
      </c>
      <c r="L97" s="301">
        <f>'[5]MFR E-6'!$AQ$14</f>
        <v>19820.811053051526</v>
      </c>
      <c r="M97" s="301">
        <f>'[5]MFR E-6'!$AJ$14</f>
        <v>574.37758172847293</v>
      </c>
      <c r="N97" s="301">
        <f>'[5]MFR E-6'!$AK$14</f>
        <v>0</v>
      </c>
      <c r="O97" s="301">
        <f>'[5]MFR E-6'!$AL$14</f>
        <v>0</v>
      </c>
      <c r="P97" s="302">
        <f t="shared" si="25"/>
        <v>0</v>
      </c>
      <c r="Q97" s="301">
        <f>'[5]MFR E-6'!$H$14</f>
        <v>558856.08935883781</v>
      </c>
      <c r="R97" s="301">
        <f>'[5]MFR E-6'!$I$14</f>
        <v>349405.27873608854</v>
      </c>
      <c r="S97" s="301">
        <f>'[5]MFR E-6'!$J$14</f>
        <v>30378.820712027828</v>
      </c>
      <c r="T97" s="301">
        <f>'[5]MFR E-6'!$K$14</f>
        <v>1870.9686760561287</v>
      </c>
      <c r="U97" s="301">
        <f>'[5]MFR E-6'!$L$14</f>
        <v>152547.81550719484</v>
      </c>
      <c r="V97" s="301">
        <f>'[5]MFR E-6'!$V$14</f>
        <v>1623.0089720004969</v>
      </c>
      <c r="W97" s="301">
        <f>'[5]MFR E-6'!$U$14</f>
        <v>22834.834564395889</v>
      </c>
      <c r="X97" s="301">
        <f>'[5]MFR E-6'!$N$14</f>
        <v>195.36219107413393</v>
      </c>
      <c r="Y97" s="301">
        <f>'[5]MFR E-6'!$O$14</f>
        <v>0</v>
      </c>
      <c r="Z97" s="301">
        <f>'[5]MFR E-6'!$P$14</f>
        <v>0</v>
      </c>
      <c r="AA97" s="302">
        <f t="shared" si="26"/>
        <v>0</v>
      </c>
      <c r="AB97" s="290"/>
      <c r="AC97" s="302">
        <f t="shared" si="24"/>
        <v>36371.971420894668</v>
      </c>
      <c r="AD97" s="302">
        <f t="shared" si="24"/>
        <v>18516.161071991664</v>
      </c>
      <c r="AE97" s="302">
        <f t="shared" si="24"/>
        <v>332.60273054347999</v>
      </c>
      <c r="AF97" s="302">
        <f t="shared" si="24"/>
        <v>137.54897056751179</v>
      </c>
      <c r="AG97" s="302">
        <f t="shared" si="24"/>
        <v>14642.214655198506</v>
      </c>
      <c r="AH97" s="302">
        <f t="shared" si="24"/>
        <v>108.43587190335575</v>
      </c>
      <c r="AI97" s="302">
        <f t="shared" si="24"/>
        <v>3014.0235113443632</v>
      </c>
      <c r="AJ97" s="302">
        <f t="shared" si="24"/>
        <v>-379.015390654339</v>
      </c>
      <c r="AK97" s="302">
        <f t="shared" si="24"/>
        <v>0</v>
      </c>
      <c r="AL97" s="302">
        <f t="shared" si="24"/>
        <v>0</v>
      </c>
      <c r="AM97" s="302">
        <f t="shared" si="24"/>
        <v>0</v>
      </c>
    </row>
    <row r="98" spans="4:39" x14ac:dyDescent="0.3">
      <c r="D98" s="89" t="s">
        <v>65</v>
      </c>
      <c r="F98" s="301">
        <f>'[5]MFR E-6'!$AD$15</f>
        <v>683349.39706557582</v>
      </c>
      <c r="G98" s="301">
        <f>'[5]MFR E-6'!$AE$15</f>
        <v>439991.58701873006</v>
      </c>
      <c r="H98" s="301">
        <f>'[5]MFR E-6'!$AF$15</f>
        <v>41924.859070230195</v>
      </c>
      <c r="I98" s="301">
        <f>'[5]MFR E-6'!$AG$15</f>
        <v>1917.9956967866251</v>
      </c>
      <c r="J98" s="301">
        <f>'[5]MFR E-6'!$AH$15</f>
        <v>174539.18288557624</v>
      </c>
      <c r="K98" s="301">
        <f>'[5]MFR E-6'!$AR$15</f>
        <v>2710.7837804904989</v>
      </c>
      <c r="L98" s="301">
        <f>'[5]MFR E-6'!$AQ$15</f>
        <v>16766.564355391685</v>
      </c>
      <c r="M98" s="301">
        <f>'[5]MFR E-6'!$AJ$15</f>
        <v>5498.4242583703772</v>
      </c>
      <c r="N98" s="301">
        <f>'[5]MFR E-6'!$AK$15</f>
        <v>0</v>
      </c>
      <c r="O98" s="301">
        <f>'[5]MFR E-6'!$AL$15</f>
        <v>0</v>
      </c>
      <c r="P98" s="302">
        <f t="shared" si="25"/>
        <v>0</v>
      </c>
      <c r="Q98" s="301">
        <f>'[5]MFR E-6'!$H$15</f>
        <v>731005.84894820105</v>
      </c>
      <c r="R98" s="301">
        <f>'[5]MFR E-6'!$I$15</f>
        <v>466719.24125742487</v>
      </c>
      <c r="S98" s="301">
        <f>'[5]MFR E-6'!$J$15</f>
        <v>43258.029975498248</v>
      </c>
      <c r="T98" s="301">
        <f>'[5]MFR E-6'!$K$15</f>
        <v>1979.6451872631983</v>
      </c>
      <c r="U98" s="301">
        <f>'[5]MFR E-6'!$L$15</f>
        <v>191731.41902023813</v>
      </c>
      <c r="V98" s="301">
        <f>'[5]MFR E-6'!$V$15</f>
        <v>3100.6490884845266</v>
      </c>
      <c r="W98" s="301">
        <f>'[5]MFR E-6'!$U$15</f>
        <v>17602.146363858319</v>
      </c>
      <c r="X98" s="301">
        <f>'[5]MFR E-6'!$N$15</f>
        <v>6614.7180554336592</v>
      </c>
      <c r="Y98" s="301">
        <f>'[5]MFR E-6'!$O$15</f>
        <v>0</v>
      </c>
      <c r="Z98" s="301">
        <f>'[5]MFR E-6'!$P$15</f>
        <v>0</v>
      </c>
      <c r="AA98" s="302">
        <f t="shared" si="26"/>
        <v>0</v>
      </c>
      <c r="AB98" s="290"/>
      <c r="AC98" s="302">
        <f t="shared" si="24"/>
        <v>47656.451882625232</v>
      </c>
      <c r="AD98" s="302">
        <f t="shared" si="24"/>
        <v>26727.654238694813</v>
      </c>
      <c r="AE98" s="302">
        <f t="shared" si="24"/>
        <v>1333.1709052680526</v>
      </c>
      <c r="AF98" s="302">
        <f t="shared" si="24"/>
        <v>61.649490476573192</v>
      </c>
      <c r="AG98" s="302">
        <f t="shared" si="24"/>
        <v>17192.236134661885</v>
      </c>
      <c r="AH98" s="302">
        <f t="shared" si="24"/>
        <v>389.86530799402772</v>
      </c>
      <c r="AI98" s="302">
        <f t="shared" si="24"/>
        <v>835.58200846663385</v>
      </c>
      <c r="AJ98" s="302">
        <f t="shared" si="24"/>
        <v>1116.293797063282</v>
      </c>
      <c r="AK98" s="302">
        <f t="shared" si="24"/>
        <v>0</v>
      </c>
      <c r="AL98" s="302">
        <f t="shared" si="24"/>
        <v>0</v>
      </c>
      <c r="AM98" s="302">
        <f t="shared" si="24"/>
        <v>0</v>
      </c>
    </row>
    <row r="99" spans="4:39" x14ac:dyDescent="0.3">
      <c r="D99" s="89" t="s">
        <v>66</v>
      </c>
      <c r="F99" s="301">
        <f>'[5]MFR E-6'!$AD$16</f>
        <v>0</v>
      </c>
      <c r="G99" s="301">
        <f>'[5]MFR E-6'!$AE$16</f>
        <v>0</v>
      </c>
      <c r="H99" s="301">
        <f>'[5]MFR E-6'!$AF$16</f>
        <v>0</v>
      </c>
      <c r="I99" s="301">
        <f>'[5]MFR E-6'!$AG$16</f>
        <v>0</v>
      </c>
      <c r="J99" s="301">
        <f>'[5]MFR E-6'!$AH$16</f>
        <v>0</v>
      </c>
      <c r="K99" s="301">
        <f>'[5]MFR E-6'!$AR$16</f>
        <v>0</v>
      </c>
      <c r="L99" s="301">
        <f>'[5]MFR E-6'!$AQ$16</f>
        <v>0</v>
      </c>
      <c r="M99" s="301">
        <f>'[5]MFR E-6'!$AJ$16</f>
        <v>0</v>
      </c>
      <c r="N99" s="301">
        <f>'[5]MFR E-6'!$AK$16</f>
        <v>0</v>
      </c>
      <c r="O99" s="301">
        <f>'[5]MFR E-6'!$AL$16</f>
        <v>0</v>
      </c>
      <c r="P99" s="302">
        <f t="shared" si="25"/>
        <v>0</v>
      </c>
      <c r="Q99" s="301">
        <f>'[5]MFR E-6'!$H$16</f>
        <v>0</v>
      </c>
      <c r="R99" s="301">
        <f>'[5]MFR E-6'!$I$16</f>
        <v>0</v>
      </c>
      <c r="S99" s="301">
        <f>'[5]MFR E-6'!$J$16</f>
        <v>0</v>
      </c>
      <c r="T99" s="301">
        <f>'[5]MFR E-6'!$K$16</f>
        <v>0</v>
      </c>
      <c r="U99" s="301">
        <f>'[5]MFR E-6'!$L$16</f>
        <v>0</v>
      </c>
      <c r="V99" s="301">
        <f>'[5]MFR E-6'!$V$16</f>
        <v>0</v>
      </c>
      <c r="W99" s="301">
        <f>'[5]MFR E-6'!$U$16</f>
        <v>0</v>
      </c>
      <c r="X99" s="301">
        <f>'[5]MFR E-6'!$N$16</f>
        <v>0</v>
      </c>
      <c r="Y99" s="301">
        <f>'[5]MFR E-6'!$O$16</f>
        <v>0</v>
      </c>
      <c r="Z99" s="301">
        <f>'[5]MFR E-6'!$P$16</f>
        <v>0</v>
      </c>
      <c r="AA99" s="302">
        <f t="shared" si="26"/>
        <v>0</v>
      </c>
      <c r="AB99" s="290"/>
      <c r="AC99" s="302">
        <f t="shared" si="24"/>
        <v>0</v>
      </c>
      <c r="AD99" s="302">
        <f t="shared" si="24"/>
        <v>0</v>
      </c>
      <c r="AE99" s="302">
        <f t="shared" si="24"/>
        <v>0</v>
      </c>
      <c r="AF99" s="302">
        <f t="shared" si="24"/>
        <v>0</v>
      </c>
      <c r="AG99" s="302">
        <f t="shared" si="24"/>
        <v>0</v>
      </c>
      <c r="AH99" s="302">
        <f t="shared" si="24"/>
        <v>0</v>
      </c>
      <c r="AI99" s="302">
        <f t="shared" si="24"/>
        <v>0</v>
      </c>
      <c r="AJ99" s="302">
        <f t="shared" si="24"/>
        <v>0</v>
      </c>
      <c r="AK99" s="302">
        <f t="shared" si="24"/>
        <v>0</v>
      </c>
      <c r="AL99" s="302">
        <f t="shared" si="24"/>
        <v>0</v>
      </c>
      <c r="AM99" s="302">
        <f t="shared" si="24"/>
        <v>0</v>
      </c>
    </row>
    <row r="100" spans="4:39" x14ac:dyDescent="0.3">
      <c r="D100" s="89" t="s">
        <v>68</v>
      </c>
      <c r="F100" s="301">
        <f>'[5]MFR E-6'!$AD$17</f>
        <v>276970.59715665132</v>
      </c>
      <c r="G100" s="301">
        <f>'[5]MFR E-6'!$AE$17</f>
        <v>203996.11935046516</v>
      </c>
      <c r="H100" s="301">
        <f>'[5]MFR E-6'!$AF$17</f>
        <v>18146.314561317216</v>
      </c>
      <c r="I100" s="301">
        <f>'[5]MFR E-6'!$AG$17</f>
        <v>469.30928009782764</v>
      </c>
      <c r="J100" s="301">
        <f>'[5]MFR E-6'!$AH$17</f>
        <v>44590.566515241859</v>
      </c>
      <c r="K100" s="301">
        <f>'[5]MFR E-6'!$AR$17</f>
        <v>164.85563436196179</v>
      </c>
      <c r="L100" s="301">
        <f>'[5]MFR E-6'!$AQ$17</f>
        <v>2474.5427434145627</v>
      </c>
      <c r="M100" s="301">
        <f>'[5]MFR E-6'!$AJ$17</f>
        <v>1189.1683315566911</v>
      </c>
      <c r="N100" s="301">
        <f>'[5]MFR E-6'!$AK$17</f>
        <v>0</v>
      </c>
      <c r="O100" s="301">
        <f>'[5]MFR E-6'!$AL$17</f>
        <v>5939.7207401960723</v>
      </c>
      <c r="P100" s="302">
        <f t="shared" si="25"/>
        <v>0</v>
      </c>
      <c r="Q100" s="301">
        <f>'[5]MFR E-6'!$H$17</f>
        <v>291346.15856231761</v>
      </c>
      <c r="R100" s="301">
        <f>'[5]MFR E-6'!$I$17</f>
        <v>222192.70964599442</v>
      </c>
      <c r="S100" s="301">
        <f>'[5]MFR E-6'!$J$17</f>
        <v>18936.476411195647</v>
      </c>
      <c r="T100" s="301">
        <f>'[5]MFR E-6'!$K$17</f>
        <v>383.22355546064</v>
      </c>
      <c r="U100" s="301">
        <f>'[5]MFR E-6'!$L$17</f>
        <v>42217.692168035421</v>
      </c>
      <c r="V100" s="301">
        <f>'[5]MFR E-6'!$V$17</f>
        <v>0</v>
      </c>
      <c r="W100" s="301">
        <f>'[5]MFR E-6'!$U$17</f>
        <v>1292.8023557708339</v>
      </c>
      <c r="X100" s="301">
        <f>'[5]MFR E-6'!$N$17</f>
        <v>1280.4899523825402</v>
      </c>
      <c r="Y100" s="301">
        <f>'[5]MFR E-6'!$O$17</f>
        <v>0</v>
      </c>
      <c r="Z100" s="301">
        <f>'[5]MFR E-6'!$P$17</f>
        <v>5042.7644734781979</v>
      </c>
      <c r="AA100" s="302">
        <f t="shared" si="26"/>
        <v>0</v>
      </c>
      <c r="AB100" s="290"/>
      <c r="AC100" s="302">
        <f t="shared" si="24"/>
        <v>14375.561405666289</v>
      </c>
      <c r="AD100" s="302">
        <f t="shared" si="24"/>
        <v>18196.590295529255</v>
      </c>
      <c r="AE100" s="302">
        <f t="shared" si="24"/>
        <v>790.16184987843008</v>
      </c>
      <c r="AF100" s="302">
        <f t="shared" si="24"/>
        <v>-86.085724637187639</v>
      </c>
      <c r="AG100" s="302">
        <f t="shared" si="24"/>
        <v>-2372.874347206438</v>
      </c>
      <c r="AH100" s="302">
        <f t="shared" si="24"/>
        <v>-164.85563436196179</v>
      </c>
      <c r="AI100" s="302">
        <f t="shared" si="24"/>
        <v>-1181.7403876437288</v>
      </c>
      <c r="AJ100" s="302">
        <f t="shared" si="24"/>
        <v>91.321620825849095</v>
      </c>
      <c r="AK100" s="302">
        <f t="shared" si="24"/>
        <v>0</v>
      </c>
      <c r="AL100" s="302">
        <f t="shared" si="24"/>
        <v>-896.95626671787431</v>
      </c>
      <c r="AM100" s="302">
        <f t="shared" si="24"/>
        <v>0</v>
      </c>
    </row>
    <row r="101" spans="4:39" x14ac:dyDescent="0.3">
      <c r="D101" s="89" t="s">
        <v>286</v>
      </c>
      <c r="F101" s="301">
        <f>'[5]MFR E-6'!$AD$18</f>
        <v>0</v>
      </c>
      <c r="G101" s="301">
        <f>'[5]MFR E-6'!$AE$18</f>
        <v>0</v>
      </c>
      <c r="H101" s="301">
        <f>'[5]MFR E-6'!$AF$18</f>
        <v>0</v>
      </c>
      <c r="I101" s="301">
        <f>'[5]MFR E-6'!$AG$18</f>
        <v>0</v>
      </c>
      <c r="J101" s="301">
        <f>'[5]MFR E-6'!$AH$18</f>
        <v>0</v>
      </c>
      <c r="K101" s="301">
        <f>'[5]MFR E-6'!$AR$18</f>
        <v>0</v>
      </c>
      <c r="L101" s="301">
        <f>'[5]MFR E-6'!$AQ$18</f>
        <v>0</v>
      </c>
      <c r="M101" s="301">
        <f>'[5]MFR E-6'!$AJ$18</f>
        <v>0</v>
      </c>
      <c r="N101" s="301">
        <f>'[5]MFR E-6'!$AK$18</f>
        <v>0</v>
      </c>
      <c r="O101" s="301">
        <f>'[5]MFR E-6'!$AL$18</f>
        <v>0</v>
      </c>
      <c r="P101" s="302">
        <f t="shared" si="25"/>
        <v>0</v>
      </c>
      <c r="Q101" s="301">
        <f>'[5]MFR E-6'!$H$18</f>
        <v>0</v>
      </c>
      <c r="R101" s="301">
        <f>'[5]MFR E-6'!$I$18</f>
        <v>0</v>
      </c>
      <c r="S101" s="301">
        <f>'[5]MFR E-6'!$J$18</f>
        <v>0</v>
      </c>
      <c r="T101" s="301">
        <f>'[5]MFR E-6'!$K$18</f>
        <v>0</v>
      </c>
      <c r="U101" s="301">
        <f>'[5]MFR E-6'!$L$18</f>
        <v>0</v>
      </c>
      <c r="V101" s="301">
        <f>'[5]MFR E-6'!$V$18</f>
        <v>0</v>
      </c>
      <c r="W101" s="301">
        <f>'[5]MFR E-6'!$U$18</f>
        <v>0</v>
      </c>
      <c r="X101" s="301">
        <f>'[5]MFR E-6'!$N$18</f>
        <v>0</v>
      </c>
      <c r="Y101" s="301">
        <f>'[5]MFR E-6'!$O$18</f>
        <v>0</v>
      </c>
      <c r="Z101" s="301">
        <f>'[5]MFR E-6'!$P$18</f>
        <v>0</v>
      </c>
      <c r="AA101" s="302">
        <f t="shared" si="26"/>
        <v>0</v>
      </c>
      <c r="AB101" s="290"/>
      <c r="AC101" s="302">
        <f t="shared" si="24"/>
        <v>0</v>
      </c>
      <c r="AD101" s="302">
        <f t="shared" si="24"/>
        <v>0</v>
      </c>
      <c r="AE101" s="302">
        <f t="shared" si="24"/>
        <v>0</v>
      </c>
      <c r="AF101" s="302">
        <f t="shared" si="24"/>
        <v>0</v>
      </c>
      <c r="AG101" s="302">
        <f t="shared" si="24"/>
        <v>0</v>
      </c>
      <c r="AH101" s="302">
        <f t="shared" si="24"/>
        <v>0</v>
      </c>
      <c r="AI101" s="302">
        <f t="shared" si="24"/>
        <v>0</v>
      </c>
      <c r="AJ101" s="302">
        <f t="shared" si="24"/>
        <v>0</v>
      </c>
      <c r="AK101" s="302">
        <f t="shared" si="24"/>
        <v>0</v>
      </c>
      <c r="AL101" s="302">
        <f t="shared" si="24"/>
        <v>0</v>
      </c>
      <c r="AM101" s="302">
        <f t="shared" si="24"/>
        <v>0</v>
      </c>
    </row>
    <row r="102" spans="4:39" x14ac:dyDescent="0.3">
      <c r="D102" s="89" t="s">
        <v>70</v>
      </c>
      <c r="F102" s="301">
        <f>'[5]MFR E-6'!$AD$19</f>
        <v>57053.776071507265</v>
      </c>
      <c r="G102" s="301">
        <f>'[5]MFR E-6'!$AE$19</f>
        <v>46303.000258296684</v>
      </c>
      <c r="H102" s="301">
        <f>'[5]MFR E-6'!$AF$19</f>
        <v>3746.2872991862264</v>
      </c>
      <c r="I102" s="301">
        <f>'[5]MFR E-6'!$AG$19</f>
        <v>343.16156106412643</v>
      </c>
      <c r="J102" s="301">
        <f>'[5]MFR E-6'!$AH$19</f>
        <v>4829.624296678714</v>
      </c>
      <c r="K102" s="301">
        <f>'[5]MFR E-6'!$AR$19</f>
        <v>49.026354491875345</v>
      </c>
      <c r="L102" s="301">
        <f>'[5]MFR E-6'!$AQ$19</f>
        <v>450.09544611393699</v>
      </c>
      <c r="M102" s="301">
        <f>'[5]MFR E-6'!$AJ$19</f>
        <v>1332.5808556756976</v>
      </c>
      <c r="N102" s="301">
        <f>'[5]MFR E-6'!$AK$19</f>
        <v>0</v>
      </c>
      <c r="O102" s="301">
        <f>'[5]MFR E-6'!$AL$19</f>
        <v>0</v>
      </c>
      <c r="P102" s="302">
        <f t="shared" si="25"/>
        <v>0</v>
      </c>
      <c r="Q102" s="301">
        <f>'[5]MFR E-6'!$H$19</f>
        <v>53606.294519859846</v>
      </c>
      <c r="R102" s="301">
        <f>'[5]MFR E-6'!$I$19</f>
        <v>46841.563352664016</v>
      </c>
      <c r="S102" s="301">
        <f>'[5]MFR E-6'!$J$19</f>
        <v>3421.3794201833794</v>
      </c>
      <c r="T102" s="301">
        <f>'[5]MFR E-6'!$K$19</f>
        <v>386.69582745303467</v>
      </c>
      <c r="U102" s="301">
        <f>'[5]MFR E-6'!$L$19</f>
        <v>1262.7774471685639</v>
      </c>
      <c r="V102" s="301">
        <f>'[5]MFR E-6'!$V$19</f>
        <v>1.4550008048726939E-2</v>
      </c>
      <c r="W102" s="301">
        <f>'[5]MFR E-6'!$U$19</f>
        <v>1.7609900492970534</v>
      </c>
      <c r="X102" s="301">
        <f>'[5]MFR E-6'!$N$19</f>
        <v>1692.1029323335154</v>
      </c>
      <c r="Y102" s="301">
        <f>'[5]MFR E-6'!$O$19</f>
        <v>0</v>
      </c>
      <c r="Z102" s="301">
        <f>'[5]MFR E-6'!$P$19</f>
        <v>0</v>
      </c>
      <c r="AA102" s="302">
        <f t="shared" si="26"/>
        <v>0</v>
      </c>
      <c r="AB102" s="290"/>
      <c r="AC102" s="302">
        <f t="shared" si="24"/>
        <v>-3447.4815516474191</v>
      </c>
      <c r="AD102" s="302">
        <f t="shared" si="24"/>
        <v>538.56309436733136</v>
      </c>
      <c r="AE102" s="302">
        <f t="shared" si="24"/>
        <v>-324.90787900284704</v>
      </c>
      <c r="AF102" s="302">
        <f t="shared" si="24"/>
        <v>43.534266388908236</v>
      </c>
      <c r="AG102" s="302">
        <f t="shared" si="24"/>
        <v>-3566.8468495101502</v>
      </c>
      <c r="AH102" s="302">
        <f t="shared" si="24"/>
        <v>-49.011804483826616</v>
      </c>
      <c r="AI102" s="302">
        <f t="shared" si="24"/>
        <v>-448.33445606463994</v>
      </c>
      <c r="AJ102" s="302">
        <f t="shared" si="24"/>
        <v>359.52207665781771</v>
      </c>
      <c r="AK102" s="302">
        <f t="shared" si="24"/>
        <v>0</v>
      </c>
      <c r="AL102" s="302">
        <f t="shared" si="24"/>
        <v>0</v>
      </c>
      <c r="AM102" s="302">
        <f t="shared" si="24"/>
        <v>0</v>
      </c>
    </row>
    <row r="103" spans="4:39" x14ac:dyDescent="0.3">
      <c r="D103" s="89" t="s">
        <v>71</v>
      </c>
      <c r="F103" s="301">
        <f>'[5]MFR E-6'!$AD$20</f>
        <v>82563.273076879836</v>
      </c>
      <c r="G103" s="301">
        <f>'[5]MFR E-6'!$AE$20</f>
        <v>64133.007674971734</v>
      </c>
      <c r="H103" s="301">
        <f>'[5]MFR E-6'!$AF$20</f>
        <v>6582.2096906326733</v>
      </c>
      <c r="I103" s="301">
        <f>'[5]MFR E-6'!$AG$20</f>
        <v>512.78087376492738</v>
      </c>
      <c r="J103" s="301">
        <f>'[5]MFR E-6'!$AH$20</f>
        <v>8481.2660826267529</v>
      </c>
      <c r="K103" s="301">
        <f>'[5]MFR E-6'!$AR$20</f>
        <v>66.207034536531808</v>
      </c>
      <c r="L103" s="301">
        <f>'[5]MFR E-6'!$AQ$20</f>
        <v>582.88738555052294</v>
      </c>
      <c r="M103" s="301">
        <f>'[5]MFR E-6'!$AJ$20</f>
        <v>2204.9143347967101</v>
      </c>
      <c r="N103" s="301">
        <f>'[5]MFR E-6'!$AK$20</f>
        <v>0</v>
      </c>
      <c r="O103" s="301">
        <f>'[5]MFR E-6'!$AL$20</f>
        <v>0</v>
      </c>
      <c r="P103" s="302">
        <f t="shared" si="25"/>
        <v>0</v>
      </c>
      <c r="Q103" s="301">
        <f>'[5]MFR E-6'!$H$20</f>
        <v>87236.297121433541</v>
      </c>
      <c r="R103" s="301">
        <f>'[5]MFR E-6'!$I$20</f>
        <v>70365.590272804911</v>
      </c>
      <c r="S103" s="301">
        <f>'[5]MFR E-6'!$J$20</f>
        <v>7182.3046642407344</v>
      </c>
      <c r="T103" s="301">
        <f>'[5]MFR E-6'!$K$20</f>
        <v>612.17366733372398</v>
      </c>
      <c r="U103" s="301">
        <f>'[5]MFR E-6'!$L$20</f>
        <v>6030.9498514394645</v>
      </c>
      <c r="V103" s="301">
        <f>'[5]MFR E-6'!$V$20</f>
        <v>21.474586441013884</v>
      </c>
      <c r="W103" s="301">
        <f>'[5]MFR E-6'!$U$20</f>
        <v>165.41237187756585</v>
      </c>
      <c r="X103" s="301">
        <f>'[5]MFR E-6'!$N$20</f>
        <v>2858.3917072961276</v>
      </c>
      <c r="Y103" s="301">
        <f>'[5]MFR E-6'!$O$20</f>
        <v>0</v>
      </c>
      <c r="Z103" s="301">
        <f>'[5]MFR E-6'!$P$20</f>
        <v>0</v>
      </c>
      <c r="AA103" s="302">
        <f t="shared" si="26"/>
        <v>0</v>
      </c>
      <c r="AB103" s="290"/>
      <c r="AC103" s="302">
        <f t="shared" si="24"/>
        <v>4673.0240445537056</v>
      </c>
      <c r="AD103" s="302">
        <f t="shared" si="24"/>
        <v>6232.5825978331777</v>
      </c>
      <c r="AE103" s="302">
        <f t="shared" si="24"/>
        <v>600.09497360806108</v>
      </c>
      <c r="AF103" s="302">
        <f t="shared" si="24"/>
        <v>99.392793568796606</v>
      </c>
      <c r="AG103" s="302">
        <f t="shared" si="24"/>
        <v>-2450.3162311872884</v>
      </c>
      <c r="AH103" s="302">
        <f t="shared" si="24"/>
        <v>-44.732448095517924</v>
      </c>
      <c r="AI103" s="302">
        <f t="shared" si="24"/>
        <v>-417.47501367295706</v>
      </c>
      <c r="AJ103" s="302">
        <f t="shared" si="24"/>
        <v>653.47737249941747</v>
      </c>
      <c r="AK103" s="302">
        <f t="shared" si="24"/>
        <v>0</v>
      </c>
      <c r="AL103" s="302">
        <f t="shared" si="24"/>
        <v>0</v>
      </c>
      <c r="AM103" s="302">
        <f t="shared" si="24"/>
        <v>0</v>
      </c>
    </row>
    <row r="104" spans="4:39" x14ac:dyDescent="0.3">
      <c r="D104" s="89" t="s">
        <v>72</v>
      </c>
      <c r="F104" s="301">
        <f>'[5]MFR E-6'!$AD$21</f>
        <v>487.76144981702879</v>
      </c>
      <c r="G104" s="301">
        <f>'[5]MFR E-6'!$AE$21</f>
        <v>67.549799360400897</v>
      </c>
      <c r="H104" s="301">
        <f>'[5]MFR E-6'!$AF$21</f>
        <v>7.1049248860037864</v>
      </c>
      <c r="I104" s="301">
        <f>'[5]MFR E-6'!$AG$21</f>
        <v>0.32467605027920315</v>
      </c>
      <c r="J104" s="301">
        <f>'[5]MFR E-6'!$AH$21</f>
        <v>23.166785318820011</v>
      </c>
      <c r="K104" s="301">
        <f>'[5]MFR E-6'!$AR$21</f>
        <v>0.29214336085933085</v>
      </c>
      <c r="L104" s="301">
        <f>'[5]MFR E-6'!$AQ$21</f>
        <v>388.90983042752725</v>
      </c>
      <c r="M104" s="301">
        <f>'[5]MFR E-6'!$AJ$21</f>
        <v>0.41329041313833742</v>
      </c>
      <c r="N104" s="301">
        <f>'[5]MFR E-6'!$AK$21</f>
        <v>0</v>
      </c>
      <c r="O104" s="301">
        <f>'[5]MFR E-6'!$AL$21</f>
        <v>0</v>
      </c>
      <c r="P104" s="302">
        <f t="shared" si="25"/>
        <v>0</v>
      </c>
      <c r="Q104" s="301">
        <f>'[5]MFR E-6'!$H$21</f>
        <v>517.35985000143512</v>
      </c>
      <c r="R104" s="301">
        <f>'[5]MFR E-6'!$I$21</f>
        <v>0</v>
      </c>
      <c r="S104" s="301">
        <f>'[5]MFR E-6'!$J$21</f>
        <v>0</v>
      </c>
      <c r="T104" s="301">
        <f>'[5]MFR E-6'!$K$21</f>
        <v>0</v>
      </c>
      <c r="U104" s="301">
        <f>'[5]MFR E-6'!$L$21</f>
        <v>0</v>
      </c>
      <c r="V104" s="301">
        <f>'[5]MFR E-6'!$V$21</f>
        <v>0</v>
      </c>
      <c r="W104" s="301">
        <f>'[5]MFR E-6'!$U$21</f>
        <v>517.35985000143523</v>
      </c>
      <c r="X104" s="301">
        <f>'[5]MFR E-6'!$N$21</f>
        <v>0</v>
      </c>
      <c r="Y104" s="301">
        <f>'[5]MFR E-6'!$O$21</f>
        <v>0</v>
      </c>
      <c r="Z104" s="301">
        <f>'[5]MFR E-6'!$P$21</f>
        <v>0</v>
      </c>
      <c r="AA104" s="302">
        <f t="shared" si="26"/>
        <v>0</v>
      </c>
      <c r="AB104" s="290"/>
      <c r="AC104" s="302">
        <f t="shared" si="24"/>
        <v>29.59840018440633</v>
      </c>
      <c r="AD104" s="302">
        <f t="shared" si="24"/>
        <v>-67.549799360400897</v>
      </c>
      <c r="AE104" s="302">
        <f t="shared" si="24"/>
        <v>-7.1049248860037864</v>
      </c>
      <c r="AF104" s="302">
        <f t="shared" si="24"/>
        <v>-0.32467605027920315</v>
      </c>
      <c r="AG104" s="302">
        <f t="shared" si="24"/>
        <v>-23.166785318820011</v>
      </c>
      <c r="AH104" s="302">
        <f t="shared" si="24"/>
        <v>-0.29214336085933085</v>
      </c>
      <c r="AI104" s="302">
        <f t="shared" si="24"/>
        <v>128.45001957390798</v>
      </c>
      <c r="AJ104" s="302">
        <f t="shared" si="24"/>
        <v>-0.41329041313833742</v>
      </c>
      <c r="AK104" s="302">
        <f t="shared" si="24"/>
        <v>0</v>
      </c>
      <c r="AL104" s="302">
        <f t="shared" si="24"/>
        <v>0</v>
      </c>
      <c r="AM104" s="302">
        <f t="shared" si="24"/>
        <v>0</v>
      </c>
    </row>
    <row r="105" spans="4:39" x14ac:dyDescent="0.3">
      <c r="D105" s="89" t="s">
        <v>73</v>
      </c>
      <c r="F105" s="301">
        <f>'[5]MFR E-6'!$AD$22</f>
        <v>106876.55068045307</v>
      </c>
      <c r="G105" s="301">
        <f>'[5]MFR E-6'!$AE$22</f>
        <v>0</v>
      </c>
      <c r="H105" s="301">
        <f>'[5]MFR E-6'!$AF$22</f>
        <v>0</v>
      </c>
      <c r="I105" s="301">
        <f>'[5]MFR E-6'!$AG$22</f>
        <v>0</v>
      </c>
      <c r="J105" s="301">
        <f>'[5]MFR E-6'!$AH$22</f>
        <v>0</v>
      </c>
      <c r="K105" s="301">
        <f>'[5]MFR E-6'!$AR$22</f>
        <v>0</v>
      </c>
      <c r="L105" s="301">
        <f>'[5]MFR E-6'!$AQ$22</f>
        <v>0</v>
      </c>
      <c r="M105" s="301">
        <f>'[5]MFR E-6'!$AJ$22</f>
        <v>0</v>
      </c>
      <c r="N105" s="301">
        <f>'[5]MFR E-6'!$AK$22</f>
        <v>106876.55068045307</v>
      </c>
      <c r="O105" s="301">
        <f>'[5]MFR E-6'!$AL$22</f>
        <v>0</v>
      </c>
      <c r="P105" s="302">
        <f t="shared" si="25"/>
        <v>0</v>
      </c>
      <c r="Q105" s="301">
        <f>'[5]MFR E-6'!$H$22</f>
        <v>113088.54627737855</v>
      </c>
      <c r="R105" s="301">
        <f>'[5]MFR E-6'!$I$22</f>
        <v>0</v>
      </c>
      <c r="S105" s="301">
        <f>'[5]MFR E-6'!$J$22</f>
        <v>0</v>
      </c>
      <c r="T105" s="301">
        <f>'[5]MFR E-6'!$K$22</f>
        <v>0</v>
      </c>
      <c r="U105" s="301">
        <f>'[5]MFR E-6'!$L$22</f>
        <v>0</v>
      </c>
      <c r="V105" s="301">
        <f>'[5]MFR E-6'!$V$22</f>
        <v>0</v>
      </c>
      <c r="W105" s="301">
        <f>'[5]MFR E-6'!$U$22</f>
        <v>0</v>
      </c>
      <c r="X105" s="301">
        <f>'[5]MFR E-6'!$N$22</f>
        <v>0</v>
      </c>
      <c r="Y105" s="301">
        <f>'[5]MFR E-6'!$O$22</f>
        <v>113088.54627737855</v>
      </c>
      <c r="Z105" s="301">
        <f>'[5]MFR E-6'!$P$22</f>
        <v>0</v>
      </c>
      <c r="AA105" s="302">
        <f t="shared" si="26"/>
        <v>0</v>
      </c>
      <c r="AB105" s="290"/>
      <c r="AC105" s="302">
        <f t="shared" si="24"/>
        <v>6211.9955969254806</v>
      </c>
      <c r="AD105" s="302">
        <f t="shared" si="24"/>
        <v>0</v>
      </c>
      <c r="AE105" s="302">
        <f t="shared" si="24"/>
        <v>0</v>
      </c>
      <c r="AF105" s="302">
        <f t="shared" si="24"/>
        <v>0</v>
      </c>
      <c r="AG105" s="302">
        <f t="shared" si="24"/>
        <v>0</v>
      </c>
      <c r="AH105" s="302">
        <f t="shared" si="24"/>
        <v>0</v>
      </c>
      <c r="AI105" s="302">
        <f t="shared" si="24"/>
        <v>0</v>
      </c>
      <c r="AJ105" s="302">
        <f t="shared" si="24"/>
        <v>0</v>
      </c>
      <c r="AK105" s="302">
        <f t="shared" si="24"/>
        <v>6211.9955969254806</v>
      </c>
      <c r="AL105" s="302">
        <f t="shared" si="24"/>
        <v>0</v>
      </c>
      <c r="AM105" s="302">
        <f t="shared" si="24"/>
        <v>0</v>
      </c>
    </row>
    <row r="106" spans="4:39" x14ac:dyDescent="0.3">
      <c r="D106" s="89" t="s">
        <v>75</v>
      </c>
      <c r="F106" s="301">
        <f>'[5]MFR E-6'!$AD$23</f>
        <v>201205.62733096903</v>
      </c>
      <c r="G106" s="301">
        <f>'[5]MFR E-6'!$AE$23</f>
        <v>166653.66100259178</v>
      </c>
      <c r="H106" s="301">
        <f>'[5]MFR E-6'!$AF$23</f>
        <v>13119.688310284901</v>
      </c>
      <c r="I106" s="301">
        <f>'[5]MFR E-6'!$AG$23</f>
        <v>1275.411694247894</v>
      </c>
      <c r="J106" s="301">
        <f>'[5]MFR E-6'!$AH$23</f>
        <v>13719.842670452435</v>
      </c>
      <c r="K106" s="301">
        <f>'[5]MFR E-6'!$AR$23</f>
        <v>126.39735400773928</v>
      </c>
      <c r="L106" s="301">
        <f>'[5]MFR E-6'!$AQ$23</f>
        <v>1163.7481711812902</v>
      </c>
      <c r="M106" s="301">
        <f>'[5]MFR E-6'!$AJ$23</f>
        <v>5146.8781282029831</v>
      </c>
      <c r="N106" s="301">
        <f>'[5]MFR E-6'!$AK$23</f>
        <v>0</v>
      </c>
      <c r="O106" s="301">
        <f>'[5]MFR E-6'!$AL$23</f>
        <v>0</v>
      </c>
      <c r="P106" s="302">
        <f t="shared" si="25"/>
        <v>0</v>
      </c>
      <c r="Q106" s="301">
        <f>'[5]MFR E-6'!$H$23</f>
        <v>212991.91343977477</v>
      </c>
      <c r="R106" s="301">
        <f>'[5]MFR E-6'!$I$23</f>
        <v>185511.44420547789</v>
      </c>
      <c r="S106" s="301">
        <f>'[5]MFR E-6'!$J$23</f>
        <v>13490.77698593716</v>
      </c>
      <c r="T106" s="301">
        <f>'[5]MFR E-6'!$K$23</f>
        <v>1532.205319782181</v>
      </c>
      <c r="U106" s="301">
        <f>'[5]MFR E-6'!$L$23</f>
        <v>5623.8300301643667</v>
      </c>
      <c r="V106" s="301">
        <f>'[5]MFR E-6'!$V$23</f>
        <v>6.697990165724133</v>
      </c>
      <c r="W106" s="301">
        <f>'[5]MFR E-6'!$U$23</f>
        <v>136.0467736696759</v>
      </c>
      <c r="X106" s="301">
        <f>'[5]MFR E-6'!$N$23</f>
        <v>6690.9121462185794</v>
      </c>
      <c r="Y106" s="301">
        <f>'[5]MFR E-6'!$O$23</f>
        <v>0</v>
      </c>
      <c r="Z106" s="301">
        <f>'[5]MFR E-6'!$P$23</f>
        <v>0</v>
      </c>
      <c r="AA106" s="302">
        <f t="shared" si="26"/>
        <v>-1.164083369076252E-5</v>
      </c>
      <c r="AB106" s="290"/>
      <c r="AC106" s="302">
        <f t="shared" si="24"/>
        <v>11786.28610880574</v>
      </c>
      <c r="AD106" s="302">
        <f t="shared" si="24"/>
        <v>18857.783202886116</v>
      </c>
      <c r="AE106" s="302">
        <f t="shared" si="24"/>
        <v>371.08867565225955</v>
      </c>
      <c r="AF106" s="302">
        <f t="shared" si="24"/>
        <v>256.793625534287</v>
      </c>
      <c r="AG106" s="302">
        <f t="shared" si="24"/>
        <v>-8096.0126402880687</v>
      </c>
      <c r="AH106" s="302">
        <f t="shared" si="24"/>
        <v>-119.69936384201515</v>
      </c>
      <c r="AI106" s="302">
        <f t="shared" si="24"/>
        <v>-1027.7013975116142</v>
      </c>
      <c r="AJ106" s="302">
        <f t="shared" si="24"/>
        <v>1544.0340180155963</v>
      </c>
      <c r="AK106" s="302">
        <f t="shared" si="24"/>
        <v>0</v>
      </c>
      <c r="AL106" s="302">
        <f t="shared" si="24"/>
        <v>0</v>
      </c>
      <c r="AM106" s="302">
        <f t="shared" si="24"/>
        <v>-1.164083369076252E-5</v>
      </c>
    </row>
    <row r="107" spans="4:39" ht="15" thickBot="1" x14ac:dyDescent="0.35">
      <c r="D107" s="278" t="s">
        <v>77</v>
      </c>
      <c r="F107" s="303">
        <f>+'[5]1-Summary (present rev)'!$H$43</f>
        <v>3469181.8224585853</v>
      </c>
      <c r="G107" s="303">
        <f>+'[5]1-Summary (present rev)'!$I$43</f>
        <v>2200619.7765434608</v>
      </c>
      <c r="H107" s="303">
        <f>+'[5]1-Summary (present rev)'!J$43</f>
        <v>202529.80758574733</v>
      </c>
      <c r="I107" s="303">
        <f>+'[5]1-Summary (present rev)'!K$43</f>
        <v>11861.50078490952</v>
      </c>
      <c r="J107" s="303">
        <f>+'[5]1-Summary (present rev)'!L$43</f>
        <v>805740.07767721289</v>
      </c>
      <c r="K107" s="303">
        <f>+'[5]1-Summary (present rev)'!M$43</f>
        <v>9687.3400443817372</v>
      </c>
      <c r="L107" s="303">
        <f>+'[5]1-Summary (present rev)'!N$43</f>
        <v>106148.87916099699</v>
      </c>
      <c r="M107" s="303">
        <f>+'[5]1-Summary (present rev)'!O$43</f>
        <v>19778.17204328757</v>
      </c>
      <c r="N107" s="303">
        <f>+'[5]1-Summary (present rev)'!P$43</f>
        <v>106876.55068045307</v>
      </c>
      <c r="O107" s="303">
        <f>+'[5]1-Summary (present rev)'!Q$43</f>
        <v>5939.7207401960723</v>
      </c>
      <c r="P107" s="302">
        <f t="shared" si="25"/>
        <v>-2.8020609170198441E-3</v>
      </c>
      <c r="Q107" s="303">
        <f>'[5]MFR E-6'!$H$25</f>
        <v>3645999.213000481</v>
      </c>
      <c r="R107" s="303">
        <f>'[5]MFR E-6'!$I$25</f>
        <v>2305310.8840144197</v>
      </c>
      <c r="S107" s="303">
        <f>'[5]MFR E-6'!$J$25</f>
        <v>203984.00300660345</v>
      </c>
      <c r="T107" s="303">
        <f>'[5]MFR E-6'!$K$25</f>
        <v>12786.500709020467</v>
      </c>
      <c r="U107" s="303">
        <f>'[5]MFR E-6'!$L$25</f>
        <v>856755.38549031527</v>
      </c>
      <c r="V107" s="303">
        <f>'[5]MFR E-6'!$V$25</f>
        <v>10183.48924700275</v>
      </c>
      <c r="W107" s="303">
        <f>'[5]MFR E-6'!$U$25</f>
        <v>116155.88030251444</v>
      </c>
      <c r="X107" s="303">
        <f>'[5]MFR E-6'!$N$25</f>
        <v>22691.759491388275</v>
      </c>
      <c r="Y107" s="303">
        <f>'[5]MFR E-6'!$O$25</f>
        <v>113088.54627737855</v>
      </c>
      <c r="Z107" s="303">
        <f>'[5]MFR E-6'!$P$25</f>
        <v>5042.7644734781979</v>
      </c>
      <c r="AA107" s="302">
        <f>+Q107-SUM(R107:Z107)</f>
        <v>-1.1640600860118866E-5</v>
      </c>
      <c r="AB107" s="290"/>
      <c r="AC107" s="304">
        <f>SUM(AC95:AC106)</f>
        <v>176817.38711839705</v>
      </c>
      <c r="AD107" s="304">
        <f t="shared" ref="AD107:AM107" si="27">SUM(AD95:AD106)</f>
        <v>104691.09595468004</v>
      </c>
      <c r="AE107" s="304">
        <f t="shared" si="27"/>
        <v>1454.1954208561117</v>
      </c>
      <c r="AF107" s="304">
        <f t="shared" si="27"/>
        <v>924.99992411094911</v>
      </c>
      <c r="AG107" s="304">
        <f t="shared" si="27"/>
        <v>51015.307813102481</v>
      </c>
      <c r="AH107" s="304">
        <f t="shared" si="27"/>
        <v>496.149202621011</v>
      </c>
      <c r="AI107" s="304">
        <f t="shared" si="27"/>
        <v>10007.001141517467</v>
      </c>
      <c r="AJ107" s="304">
        <f t="shared" si="27"/>
        <v>2913.5874481007068</v>
      </c>
      <c r="AK107" s="304">
        <f t="shared" si="27"/>
        <v>6211.9955969254806</v>
      </c>
      <c r="AL107" s="304">
        <f t="shared" si="27"/>
        <v>-896.95626671787431</v>
      </c>
      <c r="AM107" s="304">
        <f t="shared" si="27"/>
        <v>1.0883200244279578E-2</v>
      </c>
    </row>
    <row r="108" spans="4:39" ht="15" thickTop="1" x14ac:dyDescent="0.3">
      <c r="F108" s="305">
        <f>SUM(F95:F106)-F107</f>
        <v>3.4234984777867794E-3</v>
      </c>
      <c r="G108" s="305">
        <f t="shared" ref="G108:N108" si="28">SUM(G95:G106)-G107</f>
        <v>1.1516279075294733E-2</v>
      </c>
      <c r="H108" s="305">
        <f t="shared" si="28"/>
        <v>0</v>
      </c>
      <c r="I108" s="305">
        <f t="shared" si="28"/>
        <v>0</v>
      </c>
      <c r="J108" s="305">
        <f t="shared" si="28"/>
        <v>0</v>
      </c>
      <c r="K108" s="305">
        <f t="shared" si="28"/>
        <v>0</v>
      </c>
      <c r="L108" s="305">
        <f t="shared" si="28"/>
        <v>0</v>
      </c>
      <c r="M108" s="305">
        <f t="shared" si="28"/>
        <v>0</v>
      </c>
      <c r="N108" s="305">
        <f t="shared" si="28"/>
        <v>0</v>
      </c>
      <c r="O108" s="305"/>
      <c r="Q108" s="305">
        <f t="shared" ref="Q108:Y108" si="29">SUM(Q95:Q106)-Q107</f>
        <v>0</v>
      </c>
      <c r="R108" s="305">
        <f t="shared" si="29"/>
        <v>0</v>
      </c>
      <c r="S108" s="305">
        <f t="shared" si="29"/>
        <v>0</v>
      </c>
      <c r="T108" s="305">
        <f t="shared" si="29"/>
        <v>0</v>
      </c>
      <c r="U108" s="305">
        <f t="shared" si="29"/>
        <v>0</v>
      </c>
      <c r="V108" s="305">
        <f t="shared" si="29"/>
        <v>0</v>
      </c>
      <c r="W108" s="305">
        <f t="shared" si="29"/>
        <v>0</v>
      </c>
      <c r="X108" s="305">
        <f t="shared" si="29"/>
        <v>0</v>
      </c>
      <c r="Y108" s="305">
        <f t="shared" si="29"/>
        <v>0</v>
      </c>
      <c r="Z108" s="305"/>
      <c r="AB108" s="290"/>
    </row>
    <row r="109" spans="4:39" ht="18" x14ac:dyDescent="0.3">
      <c r="D109" s="300"/>
      <c r="E109" s="300">
        <v>2025</v>
      </c>
      <c r="F109" s="292"/>
      <c r="G109" s="306"/>
      <c r="H109" s="306"/>
      <c r="I109" s="306"/>
      <c r="J109" s="306"/>
      <c r="K109" s="306"/>
      <c r="L109" s="306"/>
      <c r="M109" s="306"/>
      <c r="N109" s="306"/>
      <c r="O109" s="306"/>
      <c r="Q109" s="292"/>
      <c r="R109" s="292"/>
      <c r="S109" s="292"/>
      <c r="T109" s="292"/>
      <c r="U109" s="292"/>
      <c r="V109" s="292"/>
      <c r="X109" s="292"/>
      <c r="Y109" s="292"/>
      <c r="AB109" s="290"/>
    </row>
    <row r="110" spans="4:39" x14ac:dyDescent="0.3">
      <c r="D110" s="89" t="s">
        <v>285</v>
      </c>
      <c r="F110" s="301">
        <f>'[6]MFR E-6'!$AD$12</f>
        <v>1269822.4924545966</v>
      </c>
      <c r="G110" s="301">
        <f>'[6]MFR E-6'!$AE$12</f>
        <v>786883.61363129388</v>
      </c>
      <c r="H110" s="301">
        <f>'[6]MFR E-6'!$AF$12</f>
        <v>68862.473765812785</v>
      </c>
      <c r="I110" s="301">
        <f>'[6]MFR E-6'!$AG$12</f>
        <v>4444.3787235910877</v>
      </c>
      <c r="J110" s="301">
        <f>'[6]MFR E-6'!$AH$12</f>
        <v>350966.23868952604</v>
      </c>
      <c r="K110" s="301">
        <f>'[6]MFR E-6'!$AQ$12</f>
        <v>3860.2603770619726</v>
      </c>
      <c r="L110" s="301">
        <f>'[6]MFR E-6'!$AR$12</f>
        <v>53573.810956659421</v>
      </c>
      <c r="M110" s="301">
        <f>'[6]MFR E-6'!$AJ$12</f>
        <v>1231.7278176809587</v>
      </c>
      <c r="N110" s="301">
        <f>'[6]MFR E-6'!$AK$12</f>
        <v>0</v>
      </c>
      <c r="O110" s="301">
        <f>'[6]MFR E-6'!$AL$12</f>
        <v>0</v>
      </c>
      <c r="P110" s="302">
        <f>+F110-SUM(G110:O110)</f>
        <v>-1.1507029645144939E-2</v>
      </c>
      <c r="Q110" s="301">
        <f>'[6]MFR E-6'!$H$12</f>
        <v>1314075.2231885435</v>
      </c>
      <c r="R110" s="301">
        <f>'[6]MFR E-6'!$I$12</f>
        <v>814306.13430547656</v>
      </c>
      <c r="S110" s="301">
        <f>'[6]MFR E-6'!$J$12</f>
        <v>71262.29935351474</v>
      </c>
      <c r="T110" s="301">
        <f>'[6]MFR E-6'!$K$12</f>
        <v>4599.2632811599024</v>
      </c>
      <c r="U110" s="301">
        <f>'[6]MFR E-6'!$L$12</f>
        <v>363197.2509370817</v>
      </c>
      <c r="V110" s="301">
        <f>'[6]MFR E-6'!$V$12</f>
        <v>3994.7886784931716</v>
      </c>
      <c r="W110" s="301">
        <f>'[6]MFR E-6'!$U$12</f>
        <v>55440.833666324652</v>
      </c>
      <c r="X110" s="301">
        <f>'[6]MFR E-6'!$N$12</f>
        <v>1274.6529664928876</v>
      </c>
      <c r="Y110" s="301">
        <f>'[6]MFR E-6'!$O$12</f>
        <v>0</v>
      </c>
      <c r="Z110" s="301">
        <f>'[6]MFR E-6'!$P$12</f>
        <v>0</v>
      </c>
      <c r="AA110" s="302">
        <f>+Q110-SUM(R110:Z110)</f>
        <v>0</v>
      </c>
      <c r="AB110" s="290"/>
      <c r="AC110" s="302">
        <f t="shared" ref="AC110:AM121" si="30">Q110-F110</f>
        <v>44252.730733946897</v>
      </c>
      <c r="AD110" s="302">
        <f t="shared" si="30"/>
        <v>27422.520674182684</v>
      </c>
      <c r="AE110" s="302">
        <f t="shared" si="30"/>
        <v>2399.8255877019546</v>
      </c>
      <c r="AF110" s="302">
        <f t="shared" si="30"/>
        <v>154.88455756881467</v>
      </c>
      <c r="AG110" s="302">
        <f t="shared" si="30"/>
        <v>12231.012247555656</v>
      </c>
      <c r="AH110" s="302">
        <f t="shared" si="30"/>
        <v>134.528301431199</v>
      </c>
      <c r="AI110" s="302">
        <f t="shared" si="30"/>
        <v>1867.0227096652306</v>
      </c>
      <c r="AJ110" s="302">
        <f t="shared" si="30"/>
        <v>42.925148811928921</v>
      </c>
      <c r="AK110" s="302">
        <f t="shared" si="30"/>
        <v>0</v>
      </c>
      <c r="AL110" s="302">
        <f t="shared" si="30"/>
        <v>0</v>
      </c>
      <c r="AM110" s="302">
        <f t="shared" si="30"/>
        <v>1.1507029645144939E-2</v>
      </c>
    </row>
    <row r="111" spans="4:39" x14ac:dyDescent="0.3">
      <c r="D111" s="89" t="s">
        <v>63</v>
      </c>
      <c r="F111" s="301">
        <f>'[6]MFR E-6'!$AD$13</f>
        <v>231493.0261478516</v>
      </c>
      <c r="G111" s="301">
        <f>'[6]MFR E-6'!$AE$13</f>
        <v>141799.26290611195</v>
      </c>
      <c r="H111" s="301">
        <f>'[6]MFR E-6'!$AF$13</f>
        <v>17793.604471052364</v>
      </c>
      <c r="I111" s="301">
        <f>'[6]MFR E-6'!$AG$13</f>
        <v>1031.9855199065421</v>
      </c>
      <c r="J111" s="301">
        <f>'[6]MFR E-6'!$AH$13</f>
        <v>58692.782195936197</v>
      </c>
      <c r="K111" s="301">
        <f>'[6]MFR E-6'!$AQ$13</f>
        <v>1018.2134566320535</v>
      </c>
      <c r="L111" s="301">
        <f>'[6]MFR E-6'!$AR$13</f>
        <v>8600.1046566753084</v>
      </c>
      <c r="M111" s="301">
        <f>'[6]MFR E-6'!$AJ$13</f>
        <v>2557.0722942835719</v>
      </c>
      <c r="N111" s="301">
        <f>'[6]MFR E-6'!$AK$13</f>
        <v>0</v>
      </c>
      <c r="O111" s="301">
        <f>'[6]MFR E-6'!$AL$13</f>
        <v>0</v>
      </c>
      <c r="P111" s="302">
        <f t="shared" ref="P111:P122" si="31">+F111-SUM(G111:O111)</f>
        <v>6.4725364791229367E-4</v>
      </c>
      <c r="Q111" s="301">
        <f>'[6]MFR E-6'!$H$13</f>
        <v>241155.83006869955</v>
      </c>
      <c r="R111" s="301">
        <f>'[6]MFR E-6'!$I$13</f>
        <v>127394.40520849018</v>
      </c>
      <c r="S111" s="301">
        <f>'[6]MFR E-6'!$J$13</f>
        <v>13398.76496231043</v>
      </c>
      <c r="T111" s="301">
        <f>'[6]MFR E-6'!$K$13</f>
        <v>1271.0890758146486</v>
      </c>
      <c r="U111" s="301">
        <f>'[6]MFR E-6'!$L$13</f>
        <v>80351.089598407532</v>
      </c>
      <c r="V111" s="301">
        <f>'[6]MFR E-6'!$V$13</f>
        <v>1235.3756256240551</v>
      </c>
      <c r="W111" s="301">
        <f>'[6]MFR E-6'!$U$13</f>
        <v>15471.033541262979</v>
      </c>
      <c r="X111" s="301">
        <f>'[6]MFR E-6'!$N$13</f>
        <v>2034.0720567897558</v>
      </c>
      <c r="Y111" s="301">
        <f>'[6]MFR E-6'!$O$13</f>
        <v>0</v>
      </c>
      <c r="Z111" s="301">
        <f>'[6]MFR E-6'!$P$13</f>
        <v>0</v>
      </c>
      <c r="AA111" s="302">
        <f t="shared" ref="AA111:AA121" si="32">+Q111-SUM(R111:Z111)</f>
        <v>0</v>
      </c>
      <c r="AB111" s="290"/>
      <c r="AC111" s="302">
        <f t="shared" si="30"/>
        <v>9662.8039208479458</v>
      </c>
      <c r="AD111" s="302">
        <f t="shared" si="30"/>
        <v>-14404.857697621774</v>
      </c>
      <c r="AE111" s="302">
        <f t="shared" si="30"/>
        <v>-4394.839508741934</v>
      </c>
      <c r="AF111" s="302">
        <f t="shared" si="30"/>
        <v>239.1035559081065</v>
      </c>
      <c r="AG111" s="302">
        <f t="shared" si="30"/>
        <v>21658.307402471335</v>
      </c>
      <c r="AH111" s="302">
        <f t="shared" si="30"/>
        <v>217.16216899200163</v>
      </c>
      <c r="AI111" s="302">
        <f t="shared" si="30"/>
        <v>6870.9288845876708</v>
      </c>
      <c r="AJ111" s="302">
        <f t="shared" si="30"/>
        <v>-523.00023749381603</v>
      </c>
      <c r="AK111" s="302">
        <f t="shared" si="30"/>
        <v>0</v>
      </c>
      <c r="AL111" s="302">
        <f t="shared" si="30"/>
        <v>0</v>
      </c>
      <c r="AM111" s="302">
        <f t="shared" si="30"/>
        <v>-6.4725364791229367E-4</v>
      </c>
    </row>
    <row r="112" spans="4:39" x14ac:dyDescent="0.3">
      <c r="D112" s="89" t="s">
        <v>64</v>
      </c>
      <c r="F112" s="301">
        <f>'[6]MFR E-6'!$AD$14</f>
        <v>498342.7884708927</v>
      </c>
      <c r="G112" s="301">
        <f>'[6]MFR E-6'!$AE$14</f>
        <v>316635.79488538415</v>
      </c>
      <c r="H112" s="301">
        <f>'[6]MFR E-6'!$AF$14</f>
        <v>28602.787963931143</v>
      </c>
      <c r="I112" s="301">
        <f>'[6]MFR E-6'!$AG$14</f>
        <v>1652.839298212207</v>
      </c>
      <c r="J112" s="301">
        <f>'[6]MFR E-6'!$AH$14</f>
        <v>130827.97194638799</v>
      </c>
      <c r="K112" s="301">
        <f>'[6]MFR E-6'!$AQ$14</f>
        <v>1425.9549085667697</v>
      </c>
      <c r="L112" s="301">
        <f>'[6]MFR E-6'!$AR$14</f>
        <v>18637.922400876603</v>
      </c>
      <c r="M112" s="301">
        <f>'[6]MFR E-6'!$AJ$14</f>
        <v>559.51706753382757</v>
      </c>
      <c r="N112" s="301">
        <f>'[6]MFR E-6'!$AK$14</f>
        <v>0</v>
      </c>
      <c r="O112" s="301">
        <f>'[6]MFR E-6'!$AL$14</f>
        <v>0</v>
      </c>
      <c r="P112" s="302">
        <f t="shared" si="31"/>
        <v>0</v>
      </c>
      <c r="Q112" s="301">
        <f>'[6]MFR E-6'!$H$14</f>
        <v>528886.55060506088</v>
      </c>
      <c r="R112" s="301">
        <f>'[6]MFR E-6'!$I$14</f>
        <v>331778.28623341559</v>
      </c>
      <c r="S112" s="301">
        <f>'[6]MFR E-6'!$J$14</f>
        <v>28619.602216623389</v>
      </c>
      <c r="T112" s="301">
        <f>'[6]MFR E-6'!$K$14</f>
        <v>1770.9445705614373</v>
      </c>
      <c r="U112" s="301">
        <f>'[6]MFR E-6'!$L$14</f>
        <v>143674.1014855887</v>
      </c>
      <c r="V112" s="301">
        <f>'[6]MFR E-6'!$V$14</f>
        <v>1514.9043916850851</v>
      </c>
      <c r="W112" s="301">
        <f>'[6]MFR E-6'!$U$14</f>
        <v>21343.793800220377</v>
      </c>
      <c r="X112" s="301">
        <f>'[6]MFR E-6'!$N$14</f>
        <v>184.91790696625452</v>
      </c>
      <c r="Y112" s="301">
        <f>'[6]MFR E-6'!$O$14</f>
        <v>0</v>
      </c>
      <c r="Z112" s="301">
        <f>'[6]MFR E-6'!$P$14</f>
        <v>0</v>
      </c>
      <c r="AA112" s="302">
        <f t="shared" si="32"/>
        <v>0</v>
      </c>
      <c r="AB112" s="290"/>
      <c r="AC112" s="302">
        <f t="shared" si="30"/>
        <v>30543.762134168181</v>
      </c>
      <c r="AD112" s="302">
        <f t="shared" si="30"/>
        <v>15142.491348031443</v>
      </c>
      <c r="AE112" s="302">
        <f t="shared" si="30"/>
        <v>16.814252692245645</v>
      </c>
      <c r="AF112" s="302">
        <f t="shared" si="30"/>
        <v>118.10527234923029</v>
      </c>
      <c r="AG112" s="302">
        <f t="shared" si="30"/>
        <v>12846.129539200716</v>
      </c>
      <c r="AH112" s="302">
        <f t="shared" si="30"/>
        <v>88.949483118315356</v>
      </c>
      <c r="AI112" s="302">
        <f t="shared" si="30"/>
        <v>2705.8713993437741</v>
      </c>
      <c r="AJ112" s="302">
        <f t="shared" si="30"/>
        <v>-374.59916056757305</v>
      </c>
      <c r="AK112" s="302">
        <f t="shared" si="30"/>
        <v>0</v>
      </c>
      <c r="AL112" s="302">
        <f t="shared" si="30"/>
        <v>0</v>
      </c>
      <c r="AM112" s="302">
        <f t="shared" si="30"/>
        <v>0</v>
      </c>
    </row>
    <row r="113" spans="2:39" x14ac:dyDescent="0.3">
      <c r="D113" s="89" t="s">
        <v>65</v>
      </c>
      <c r="F113" s="301">
        <f>'[6]MFR E-6'!$AD$15</f>
        <v>655334.03194766282</v>
      </c>
      <c r="G113" s="301">
        <f>'[6]MFR E-6'!$AE$15</f>
        <v>423295.27931412414</v>
      </c>
      <c r="H113" s="301">
        <f>'[6]MFR E-6'!$AF$15</f>
        <v>40112.324572277161</v>
      </c>
      <c r="I113" s="301">
        <f>'[6]MFR E-6'!$AG$15</f>
        <v>1841.3098109704915</v>
      </c>
      <c r="J113" s="301">
        <f>'[6]MFR E-6'!$AH$15</f>
        <v>166382.54283940559</v>
      </c>
      <c r="K113" s="301">
        <f>'[6]MFR E-6'!$AQ$15</f>
        <v>2557.082543641644</v>
      </c>
      <c r="L113" s="301">
        <f>'[6]MFR E-6'!$AR$15</f>
        <v>15896.808765870395</v>
      </c>
      <c r="M113" s="301">
        <f>'[6]MFR E-6'!$AJ$15</f>
        <v>5248.6841013732892</v>
      </c>
      <c r="N113" s="301">
        <f>'[6]MFR E-6'!$AK$15</f>
        <v>0</v>
      </c>
      <c r="O113" s="301">
        <f>'[6]MFR E-6'!$AL$15</f>
        <v>0</v>
      </c>
      <c r="P113" s="302">
        <f t="shared" si="31"/>
        <v>0</v>
      </c>
      <c r="Q113" s="301">
        <f>'[6]MFR E-6'!$H$15</f>
        <v>695677.19325730891</v>
      </c>
      <c r="R113" s="301">
        <f>'[6]MFR E-6'!$I$15</f>
        <v>445672.34061379294</v>
      </c>
      <c r="S113" s="301">
        <f>'[6]MFR E-6'!$J$15</f>
        <v>40995.195603751345</v>
      </c>
      <c r="T113" s="301">
        <f>'[6]MFR E-6'!$K$15</f>
        <v>1884.4016439605107</v>
      </c>
      <c r="U113" s="301">
        <f>'[6]MFR E-6'!$L$15</f>
        <v>181394.46989594158</v>
      </c>
      <c r="V113" s="301">
        <f>'[6]MFR E-6'!$V$15</f>
        <v>2906.0651858668102</v>
      </c>
      <c r="W113" s="301">
        <f>'[6]MFR E-6'!$U$15</f>
        <v>16535.813622705678</v>
      </c>
      <c r="X113" s="301">
        <f>'[6]MFR E-6'!$N$15</f>
        <v>6288.9066912898943</v>
      </c>
      <c r="Y113" s="301">
        <f>'[6]MFR E-6'!$O$15</f>
        <v>0</v>
      </c>
      <c r="Z113" s="301">
        <f>'[6]MFR E-6'!$P$15</f>
        <v>0</v>
      </c>
      <c r="AA113" s="302">
        <f t="shared" si="32"/>
        <v>0</v>
      </c>
      <c r="AB113" s="290"/>
      <c r="AC113" s="302">
        <f t="shared" si="30"/>
        <v>40343.161309646093</v>
      </c>
      <c r="AD113" s="302">
        <f t="shared" si="30"/>
        <v>22377.0612996688</v>
      </c>
      <c r="AE113" s="302">
        <f t="shared" si="30"/>
        <v>882.87103147418384</v>
      </c>
      <c r="AF113" s="302">
        <f t="shared" si="30"/>
        <v>43.091832990019157</v>
      </c>
      <c r="AG113" s="302">
        <f t="shared" si="30"/>
        <v>15011.927056535991</v>
      </c>
      <c r="AH113" s="302">
        <f t="shared" si="30"/>
        <v>348.98264222516627</v>
      </c>
      <c r="AI113" s="302">
        <f t="shared" si="30"/>
        <v>639.00485683528314</v>
      </c>
      <c r="AJ113" s="302">
        <f t="shared" si="30"/>
        <v>1040.2225899166051</v>
      </c>
      <c r="AK113" s="302">
        <f t="shared" si="30"/>
        <v>0</v>
      </c>
      <c r="AL113" s="302">
        <f t="shared" si="30"/>
        <v>0</v>
      </c>
      <c r="AM113" s="302">
        <f t="shared" si="30"/>
        <v>0</v>
      </c>
    </row>
    <row r="114" spans="2:39" x14ac:dyDescent="0.3">
      <c r="D114" s="89" t="s">
        <v>66</v>
      </c>
      <c r="F114" s="301">
        <f>'[6]MFR E-6'!$AD$16</f>
        <v>0</v>
      </c>
      <c r="G114" s="301">
        <f>'[6]MFR E-6'!$AE$16</f>
        <v>0</v>
      </c>
      <c r="H114" s="301">
        <f>'[6]MFR E-6'!$AF$16</f>
        <v>0</v>
      </c>
      <c r="I114" s="301">
        <f>'[6]MFR E-6'!$AG$16</f>
        <v>0</v>
      </c>
      <c r="J114" s="301">
        <f>'[6]MFR E-6'!$AH$16</f>
        <v>0</v>
      </c>
      <c r="K114" s="301">
        <f>'[6]MFR E-6'!$AQ$16</f>
        <v>0</v>
      </c>
      <c r="L114" s="301">
        <f>'[6]MFR E-6'!$AR$16</f>
        <v>0</v>
      </c>
      <c r="M114" s="301">
        <f>'[6]MFR E-6'!$AJ$16</f>
        <v>0</v>
      </c>
      <c r="N114" s="301">
        <f>'[6]MFR E-6'!$AK$16</f>
        <v>0</v>
      </c>
      <c r="O114" s="301">
        <f>'[6]MFR E-6'!$AL$16</f>
        <v>0</v>
      </c>
      <c r="P114" s="302">
        <f t="shared" si="31"/>
        <v>0</v>
      </c>
      <c r="Q114" s="301">
        <f>'[6]MFR E-6'!$H$16</f>
        <v>0</v>
      </c>
      <c r="R114" s="301">
        <f>'[6]MFR E-6'!$I$16</f>
        <v>0</v>
      </c>
      <c r="S114" s="301">
        <f>'[6]MFR E-6'!$J$16</f>
        <v>0</v>
      </c>
      <c r="T114" s="301">
        <f>'[6]MFR E-6'!$K$16</f>
        <v>0</v>
      </c>
      <c r="U114" s="301">
        <f>'[6]MFR E-6'!$L$16</f>
        <v>0</v>
      </c>
      <c r="V114" s="301">
        <f>'[6]MFR E-6'!$V$16</f>
        <v>0</v>
      </c>
      <c r="W114" s="301">
        <f>'[6]MFR E-6'!$U$16</f>
        <v>0</v>
      </c>
      <c r="X114" s="301">
        <f>'[6]MFR E-6'!$N$16</f>
        <v>0</v>
      </c>
      <c r="Y114" s="301">
        <f>'[6]MFR E-6'!$O$16</f>
        <v>0</v>
      </c>
      <c r="Z114" s="301">
        <f>'[6]MFR E-6'!$P$16</f>
        <v>0</v>
      </c>
      <c r="AA114" s="302">
        <f t="shared" si="32"/>
        <v>0</v>
      </c>
      <c r="AB114" s="290"/>
      <c r="AC114" s="302">
        <f t="shared" si="30"/>
        <v>0</v>
      </c>
      <c r="AD114" s="302">
        <f t="shared" si="30"/>
        <v>0</v>
      </c>
      <c r="AE114" s="302">
        <f t="shared" si="30"/>
        <v>0</v>
      </c>
      <c r="AF114" s="302">
        <f t="shared" si="30"/>
        <v>0</v>
      </c>
      <c r="AG114" s="302">
        <f t="shared" si="30"/>
        <v>0</v>
      </c>
      <c r="AH114" s="302">
        <f t="shared" si="30"/>
        <v>0</v>
      </c>
      <c r="AI114" s="302">
        <f t="shared" si="30"/>
        <v>0</v>
      </c>
      <c r="AJ114" s="302">
        <f t="shared" si="30"/>
        <v>0</v>
      </c>
      <c r="AK114" s="302">
        <f t="shared" si="30"/>
        <v>0</v>
      </c>
      <c r="AL114" s="302">
        <f t="shared" si="30"/>
        <v>0</v>
      </c>
      <c r="AM114" s="302">
        <f t="shared" si="30"/>
        <v>0</v>
      </c>
    </row>
    <row r="115" spans="2:39" x14ac:dyDescent="0.3">
      <c r="D115" s="89" t="s">
        <v>68</v>
      </c>
      <c r="F115" s="301">
        <f>'[6]MFR E-6'!$AD$17</f>
        <v>269421.87932433875</v>
      </c>
      <c r="G115" s="301">
        <f>'[6]MFR E-6'!$AE$17</f>
        <v>199214.9527650059</v>
      </c>
      <c r="H115" s="301">
        <f>'[6]MFR E-6'!$AF$17</f>
        <v>17630.847055459675</v>
      </c>
      <c r="I115" s="301">
        <f>'[6]MFR E-6'!$AG$17</f>
        <v>460.42405361279981</v>
      </c>
      <c r="J115" s="301">
        <f>'[6]MFR E-6'!$AH$17</f>
        <v>43427.313409784976</v>
      </c>
      <c r="K115" s="301">
        <f>'[6]MFR E-6'!$AQ$17</f>
        <v>163.93437310803006</v>
      </c>
      <c r="L115" s="301">
        <f>'[6]MFR E-6'!$AR$17</f>
        <v>2424.5647856511446</v>
      </c>
      <c r="M115" s="301">
        <f>'[6]MFR E-6'!$AJ$17</f>
        <v>1157.4221706745363</v>
      </c>
      <c r="N115" s="301">
        <f>'[6]MFR E-6'!$AK$17</f>
        <v>0</v>
      </c>
      <c r="O115" s="301">
        <f>'[6]MFR E-6'!$AL$17</f>
        <v>4942.4207110416974</v>
      </c>
      <c r="P115" s="302">
        <f t="shared" si="31"/>
        <v>0</v>
      </c>
      <c r="Q115" s="301">
        <f>'[6]MFR E-6'!$H$17</f>
        <v>281799.69389480271</v>
      </c>
      <c r="R115" s="301">
        <f>'[6]MFR E-6'!$I$17</f>
        <v>215526.06757914569</v>
      </c>
      <c r="S115" s="301">
        <f>'[6]MFR E-6'!$J$17</f>
        <v>18229.609389246245</v>
      </c>
      <c r="T115" s="301">
        <f>'[6]MFR E-6'!$K$17</f>
        <v>370.54471329978088</v>
      </c>
      <c r="U115" s="301">
        <f>'[6]MFR E-6'!$L$17</f>
        <v>40627.474770270353</v>
      </c>
      <c r="V115" s="301">
        <f>'[6]MFR E-6'!$V$17</f>
        <v>0</v>
      </c>
      <c r="W115" s="301">
        <f>'[6]MFR E-6'!$U$17</f>
        <v>1235.1490443326031</v>
      </c>
      <c r="X115" s="301">
        <f>'[6]MFR E-6'!$N$17</f>
        <v>1236.637175711317</v>
      </c>
      <c r="Y115" s="301">
        <f>'[6]MFR E-6'!$O$17</f>
        <v>0</v>
      </c>
      <c r="Z115" s="301">
        <f>'[6]MFR E-6'!$P$17</f>
        <v>4574.2112227967818</v>
      </c>
      <c r="AA115" s="302">
        <f t="shared" si="32"/>
        <v>0</v>
      </c>
      <c r="AB115" s="290"/>
      <c r="AC115" s="302">
        <f t="shared" si="30"/>
        <v>12377.814570463961</v>
      </c>
      <c r="AD115" s="302">
        <f t="shared" si="30"/>
        <v>16311.114814139786</v>
      </c>
      <c r="AE115" s="302">
        <f t="shared" si="30"/>
        <v>598.7623337865698</v>
      </c>
      <c r="AF115" s="302">
        <f t="shared" si="30"/>
        <v>-89.879340313018929</v>
      </c>
      <c r="AG115" s="302">
        <f t="shared" si="30"/>
        <v>-2799.8386395146226</v>
      </c>
      <c r="AH115" s="302">
        <f t="shared" si="30"/>
        <v>-163.93437310803006</v>
      </c>
      <c r="AI115" s="302">
        <f t="shared" si="30"/>
        <v>-1189.4157413185414</v>
      </c>
      <c r="AJ115" s="302">
        <f t="shared" si="30"/>
        <v>79.215005036780667</v>
      </c>
      <c r="AK115" s="302">
        <f t="shared" si="30"/>
        <v>0</v>
      </c>
      <c r="AL115" s="302">
        <f t="shared" si="30"/>
        <v>-368.20948824491552</v>
      </c>
      <c r="AM115" s="302">
        <f t="shared" si="30"/>
        <v>0</v>
      </c>
    </row>
    <row r="116" spans="2:39" x14ac:dyDescent="0.3">
      <c r="D116" s="89" t="s">
        <v>286</v>
      </c>
      <c r="F116" s="301">
        <f>'[6]MFR E-6'!$AD$18</f>
        <v>0</v>
      </c>
      <c r="G116" s="301">
        <f>'[6]MFR E-6'!$AE$18</f>
        <v>0</v>
      </c>
      <c r="H116" s="301">
        <f>'[6]MFR E-6'!$AF$18</f>
        <v>0</v>
      </c>
      <c r="I116" s="301">
        <f>'[6]MFR E-6'!$AG$18</f>
        <v>0</v>
      </c>
      <c r="J116" s="301">
        <f>'[6]MFR E-6'!$AH$18</f>
        <v>0</v>
      </c>
      <c r="K116" s="301">
        <f>'[6]MFR E-6'!$AQ$18</f>
        <v>0</v>
      </c>
      <c r="L116" s="301">
        <f>'[6]MFR E-6'!$AR$18</f>
        <v>0</v>
      </c>
      <c r="M116" s="301">
        <f>'[6]MFR E-6'!$AJ$18</f>
        <v>0</v>
      </c>
      <c r="N116" s="301">
        <f>'[6]MFR E-6'!$AK$18</f>
        <v>0</v>
      </c>
      <c r="O116" s="301">
        <f>'[6]MFR E-6'!$AL$18</f>
        <v>0</v>
      </c>
      <c r="P116" s="302">
        <f t="shared" si="31"/>
        <v>0</v>
      </c>
      <c r="Q116" s="301">
        <f>'[6]MFR E-6'!$H$18</f>
        <v>0</v>
      </c>
      <c r="R116" s="301">
        <f>'[6]MFR E-6'!$I$18</f>
        <v>0</v>
      </c>
      <c r="S116" s="301">
        <f>'[6]MFR E-6'!$J$18</f>
        <v>0</v>
      </c>
      <c r="T116" s="301">
        <f>'[6]MFR E-6'!$K$18</f>
        <v>0</v>
      </c>
      <c r="U116" s="301">
        <f>'[6]MFR E-6'!$L$18</f>
        <v>0</v>
      </c>
      <c r="V116" s="301">
        <f>'[6]MFR E-6'!$V$18</f>
        <v>0</v>
      </c>
      <c r="W116" s="301">
        <f>'[6]MFR E-6'!$U$18</f>
        <v>0</v>
      </c>
      <c r="X116" s="301">
        <f>'[6]MFR E-6'!$N$18</f>
        <v>0</v>
      </c>
      <c r="Y116" s="301">
        <f>'[6]MFR E-6'!$O$18</f>
        <v>0</v>
      </c>
      <c r="Z116" s="301">
        <f>'[6]MFR E-6'!$P$18</f>
        <v>0</v>
      </c>
      <c r="AA116" s="302">
        <f t="shared" si="32"/>
        <v>0</v>
      </c>
      <c r="AB116" s="290"/>
      <c r="AC116" s="302">
        <f t="shared" si="30"/>
        <v>0</v>
      </c>
      <c r="AD116" s="302">
        <f t="shared" si="30"/>
        <v>0</v>
      </c>
      <c r="AE116" s="302">
        <f t="shared" si="30"/>
        <v>0</v>
      </c>
      <c r="AF116" s="302">
        <f t="shared" si="30"/>
        <v>0</v>
      </c>
      <c r="AG116" s="302">
        <f t="shared" si="30"/>
        <v>0</v>
      </c>
      <c r="AH116" s="302">
        <f t="shared" si="30"/>
        <v>0</v>
      </c>
      <c r="AI116" s="302">
        <f t="shared" si="30"/>
        <v>0</v>
      </c>
      <c r="AJ116" s="302">
        <f t="shared" si="30"/>
        <v>0</v>
      </c>
      <c r="AK116" s="302">
        <f t="shared" si="30"/>
        <v>0</v>
      </c>
      <c r="AL116" s="302">
        <f t="shared" si="30"/>
        <v>0</v>
      </c>
      <c r="AM116" s="302">
        <f t="shared" si="30"/>
        <v>0</v>
      </c>
    </row>
    <row r="117" spans="2:39" x14ac:dyDescent="0.3">
      <c r="D117" s="89" t="s">
        <v>70</v>
      </c>
      <c r="F117" s="301">
        <f>'[6]MFR E-6'!$AD$19</f>
        <v>55397.266454084885</v>
      </c>
      <c r="G117" s="301">
        <f>'[6]MFR E-6'!$AE$19</f>
        <v>44834.439963808567</v>
      </c>
      <c r="H117" s="301">
        <f>'[6]MFR E-6'!$AF$19</f>
        <v>3651.7287396489201</v>
      </c>
      <c r="I117" s="301">
        <f>'[6]MFR E-6'!$AG$19</f>
        <v>332.82480193854127</v>
      </c>
      <c r="J117" s="301">
        <f>'[6]MFR E-6'!$AH$19</f>
        <v>4800.0615594875135</v>
      </c>
      <c r="K117" s="301">
        <f>'[6]MFR E-6'!$AQ$19</f>
        <v>48.743088621542604</v>
      </c>
      <c r="L117" s="301">
        <f>'[6]MFR E-6'!$AR$19</f>
        <v>447.91371365637758</v>
      </c>
      <c r="M117" s="301">
        <f>'[6]MFR E-6'!$AJ$19</f>
        <v>1281.5545869234384</v>
      </c>
      <c r="N117" s="301">
        <f>'[6]MFR E-6'!$AK$19</f>
        <v>0</v>
      </c>
      <c r="O117" s="301">
        <f>'[6]MFR E-6'!$AL$19</f>
        <v>0</v>
      </c>
      <c r="P117" s="302">
        <f t="shared" si="31"/>
        <v>0</v>
      </c>
      <c r="Q117" s="301">
        <f>'[6]MFR E-6'!$H$19</f>
        <v>51301.750921191524</v>
      </c>
      <c r="R117" s="301">
        <f>'[6]MFR E-6'!$I$19</f>
        <v>44799.265679791941</v>
      </c>
      <c r="S117" s="301">
        <f>'[6]MFR E-6'!$J$19</f>
        <v>3290.1380689711668</v>
      </c>
      <c r="T117" s="301">
        <f>'[6]MFR E-6'!$K$19</f>
        <v>372.63224812172058</v>
      </c>
      <c r="U117" s="301">
        <f>'[6]MFR E-6'!$L$19</f>
        <v>1214.6134881772564</v>
      </c>
      <c r="V117" s="301">
        <f>'[6]MFR E-6'!$V$19</f>
        <v>1.407706045745878E-2</v>
      </c>
      <c r="W117" s="301">
        <f>'[6]MFR E-6'!$U$19</f>
        <v>1.7117648867597179</v>
      </c>
      <c r="X117" s="301">
        <f>'[6]MFR E-6'!$N$19</f>
        <v>1623.3755941822219</v>
      </c>
      <c r="Y117" s="301">
        <f>'[6]MFR E-6'!$O$19</f>
        <v>0</v>
      </c>
      <c r="Z117" s="301">
        <f>'[6]MFR E-6'!$P$19</f>
        <v>0</v>
      </c>
      <c r="AA117" s="302">
        <f t="shared" si="32"/>
        <v>0</v>
      </c>
      <c r="AB117" s="290"/>
      <c r="AC117" s="302">
        <f t="shared" si="30"/>
        <v>-4095.5155328933615</v>
      </c>
      <c r="AD117" s="302">
        <f t="shared" si="30"/>
        <v>-35.174284016626189</v>
      </c>
      <c r="AE117" s="302">
        <f t="shared" si="30"/>
        <v>-361.59067067775322</v>
      </c>
      <c r="AF117" s="302">
        <f t="shared" si="30"/>
        <v>39.807446183179309</v>
      </c>
      <c r="AG117" s="302">
        <f t="shared" si="30"/>
        <v>-3585.4480713102571</v>
      </c>
      <c r="AH117" s="302">
        <f t="shared" si="30"/>
        <v>-48.729011561085144</v>
      </c>
      <c r="AI117" s="302">
        <f t="shared" si="30"/>
        <v>-446.20194876961784</v>
      </c>
      <c r="AJ117" s="302">
        <f t="shared" si="30"/>
        <v>341.82100725878354</v>
      </c>
      <c r="AK117" s="302">
        <f t="shared" si="30"/>
        <v>0</v>
      </c>
      <c r="AL117" s="302">
        <f t="shared" si="30"/>
        <v>0</v>
      </c>
      <c r="AM117" s="302">
        <f t="shared" si="30"/>
        <v>0</v>
      </c>
    </row>
    <row r="118" spans="2:39" x14ac:dyDescent="0.3">
      <c r="D118" s="89" t="s">
        <v>71</v>
      </c>
      <c r="F118" s="301">
        <f>'[6]MFR E-6'!$AD$20</f>
        <v>77224.390619765414</v>
      </c>
      <c r="G118" s="301">
        <f>'[6]MFR E-6'!$AE$20</f>
        <v>59892.383908226737</v>
      </c>
      <c r="H118" s="301">
        <f>'[6]MFR E-6'!$AF$20</f>
        <v>6172.7432589331929</v>
      </c>
      <c r="I118" s="301">
        <f>'[6]MFR E-6'!$AG$20</f>
        <v>480.83127285646998</v>
      </c>
      <c r="J118" s="301">
        <f>'[6]MFR E-6'!$AH$20</f>
        <v>8007.6635526051468</v>
      </c>
      <c r="K118" s="301">
        <f>'[6]MFR E-6'!$AQ$20</f>
        <v>62.707938053205602</v>
      </c>
      <c r="L118" s="301">
        <f>'[6]MFR E-6'!$AR$20</f>
        <v>552.97854688603229</v>
      </c>
      <c r="M118" s="301">
        <f>'[6]MFR E-6'!$AJ$20</f>
        <v>2055.0821422046415</v>
      </c>
      <c r="N118" s="301">
        <f>'[6]MFR E-6'!$AK$20</f>
        <v>0</v>
      </c>
      <c r="O118" s="301">
        <f>'[6]MFR E-6'!$AL$20</f>
        <v>0</v>
      </c>
      <c r="P118" s="302">
        <f t="shared" si="31"/>
        <v>0</v>
      </c>
      <c r="Q118" s="301">
        <f>'[6]MFR E-6'!$H$20</f>
        <v>81063.294065531823</v>
      </c>
      <c r="R118" s="301">
        <f>'[6]MFR E-6'!$I$20</f>
        <v>65318.507516224214</v>
      </c>
      <c r="S118" s="301">
        <f>'[6]MFR E-6'!$J$20</f>
        <v>6703.6774764246802</v>
      </c>
      <c r="T118" s="301">
        <f>'[6]MFR E-6'!$K$20</f>
        <v>572.56131127594881</v>
      </c>
      <c r="U118" s="301">
        <f>'[6]MFR E-6'!$L$20</f>
        <v>5630.5478303005993</v>
      </c>
      <c r="V118" s="301">
        <f>'[6]MFR E-6'!$V$20</f>
        <v>20.214053422397484</v>
      </c>
      <c r="W118" s="301">
        <f>'[6]MFR E-6'!$U$20</f>
        <v>156.13934058826388</v>
      </c>
      <c r="X118" s="301">
        <f>'[6]MFR E-6'!$N$20</f>
        <v>2661.64653729574</v>
      </c>
      <c r="Y118" s="301">
        <f>'[6]MFR E-6'!$O$20</f>
        <v>0</v>
      </c>
      <c r="Z118" s="301">
        <f>'[6]MFR E-6'!$P$20</f>
        <v>0</v>
      </c>
      <c r="AA118" s="302">
        <f t="shared" si="32"/>
        <v>0</v>
      </c>
      <c r="AB118" s="290"/>
      <c r="AC118" s="302">
        <f t="shared" si="30"/>
        <v>3838.9034457664093</v>
      </c>
      <c r="AD118" s="302">
        <f t="shared" si="30"/>
        <v>5426.1236079974769</v>
      </c>
      <c r="AE118" s="302">
        <f t="shared" si="30"/>
        <v>530.93421749148729</v>
      </c>
      <c r="AF118" s="302">
        <f t="shared" si="30"/>
        <v>91.730038419478831</v>
      </c>
      <c r="AG118" s="302">
        <f t="shared" si="30"/>
        <v>-2377.1157223045475</v>
      </c>
      <c r="AH118" s="302">
        <f t="shared" si="30"/>
        <v>-42.493884630808118</v>
      </c>
      <c r="AI118" s="302">
        <f t="shared" si="30"/>
        <v>-396.83920629776844</v>
      </c>
      <c r="AJ118" s="302">
        <f t="shared" si="30"/>
        <v>606.5643950910985</v>
      </c>
      <c r="AK118" s="302">
        <f t="shared" si="30"/>
        <v>0</v>
      </c>
      <c r="AL118" s="302">
        <f t="shared" si="30"/>
        <v>0</v>
      </c>
      <c r="AM118" s="302">
        <f t="shared" si="30"/>
        <v>0</v>
      </c>
    </row>
    <row r="119" spans="2:39" x14ac:dyDescent="0.3">
      <c r="D119" s="89" t="s">
        <v>72</v>
      </c>
      <c r="F119" s="301">
        <f>'[6]MFR E-6'!$AD$21</f>
        <v>539.22071878817997</v>
      </c>
      <c r="G119" s="301">
        <f>'[6]MFR E-6'!$AE$21</f>
        <v>74.93417493716386</v>
      </c>
      <c r="H119" s="301">
        <f>'[6]MFR E-6'!$AF$21</f>
        <v>7.8652830370664377</v>
      </c>
      <c r="I119" s="301">
        <f>'[6]MFR E-6'!$AG$21</f>
        <v>0.35946275395019422</v>
      </c>
      <c r="J119" s="301">
        <f>'[6]MFR E-6'!$AH$21</f>
        <v>25.614766182248008</v>
      </c>
      <c r="K119" s="301">
        <f>'[6]MFR E-6'!$AQ$21</f>
        <v>0.32062164140477883</v>
      </c>
      <c r="L119" s="301">
        <f>'[6]MFR E-6'!$AR$21</f>
        <v>429.66834269673302</v>
      </c>
      <c r="M119" s="301">
        <f>'[6]MFR E-6'!$AJ$21</f>
        <v>0.45806753961360031</v>
      </c>
      <c r="N119" s="301">
        <f>'[6]MFR E-6'!$AK$21</f>
        <v>0</v>
      </c>
      <c r="O119" s="301">
        <f>'[6]MFR E-6'!$AL$21</f>
        <v>0</v>
      </c>
      <c r="P119" s="302">
        <f t="shared" si="31"/>
        <v>0</v>
      </c>
      <c r="Q119" s="301">
        <f>'[6]MFR E-6'!$H$21</f>
        <v>571.60248360155356</v>
      </c>
      <c r="R119" s="301">
        <f>'[6]MFR E-6'!$I$21</f>
        <v>0</v>
      </c>
      <c r="S119" s="301">
        <f>'[6]MFR E-6'!$J$21</f>
        <v>0</v>
      </c>
      <c r="T119" s="301">
        <f>'[6]MFR E-6'!$K$21</f>
        <v>0</v>
      </c>
      <c r="U119" s="301">
        <f>'[6]MFR E-6'!$L$21</f>
        <v>0</v>
      </c>
      <c r="V119" s="301">
        <f>'[6]MFR E-6'!$V$21</f>
        <v>0</v>
      </c>
      <c r="W119" s="301">
        <f>'[6]MFR E-6'!$U$21</f>
        <v>571.60248360155356</v>
      </c>
      <c r="X119" s="301">
        <f>'[6]MFR E-6'!$N$21</f>
        <v>0</v>
      </c>
      <c r="Y119" s="301">
        <f>'[6]MFR E-6'!$O$21</f>
        <v>0</v>
      </c>
      <c r="Z119" s="301">
        <f>'[6]MFR E-6'!$P$21</f>
        <v>0</v>
      </c>
      <c r="AA119" s="302">
        <f t="shared" si="32"/>
        <v>0</v>
      </c>
      <c r="AB119" s="290"/>
      <c r="AC119" s="302">
        <f t="shared" si="30"/>
        <v>32.381764813373593</v>
      </c>
      <c r="AD119" s="302">
        <f t="shared" si="30"/>
        <v>-74.93417493716386</v>
      </c>
      <c r="AE119" s="302">
        <f t="shared" si="30"/>
        <v>-7.8652830370664377</v>
      </c>
      <c r="AF119" s="302">
        <f t="shared" si="30"/>
        <v>-0.35946275395019422</v>
      </c>
      <c r="AG119" s="302">
        <f t="shared" si="30"/>
        <v>-25.614766182248008</v>
      </c>
      <c r="AH119" s="302">
        <f t="shared" si="30"/>
        <v>-0.32062164140477883</v>
      </c>
      <c r="AI119" s="302">
        <f t="shared" si="30"/>
        <v>141.93414090482054</v>
      </c>
      <c r="AJ119" s="302">
        <f t="shared" si="30"/>
        <v>-0.45806753961360031</v>
      </c>
      <c r="AK119" s="302">
        <f t="shared" si="30"/>
        <v>0</v>
      </c>
      <c r="AL119" s="302">
        <f t="shared" si="30"/>
        <v>0</v>
      </c>
      <c r="AM119" s="302">
        <f t="shared" si="30"/>
        <v>0</v>
      </c>
    </row>
    <row r="120" spans="2:39" x14ac:dyDescent="0.3">
      <c r="D120" s="89" t="s">
        <v>73</v>
      </c>
      <c r="F120" s="301">
        <f>'[6]MFR E-6'!$AD$22</f>
        <v>103604.37724549197</v>
      </c>
      <c r="G120" s="301">
        <f>'[6]MFR E-6'!$AE$22</f>
        <v>0</v>
      </c>
      <c r="H120" s="301">
        <f>'[6]MFR E-6'!$AF$22</f>
        <v>0</v>
      </c>
      <c r="I120" s="301">
        <f>'[6]MFR E-6'!$AG$22</f>
        <v>0</v>
      </c>
      <c r="J120" s="301">
        <f>'[6]MFR E-6'!$AH$22</f>
        <v>0</v>
      </c>
      <c r="K120" s="301">
        <f>'[6]MFR E-6'!$AQ$22</f>
        <v>0</v>
      </c>
      <c r="L120" s="301">
        <f>'[6]MFR E-6'!$AR$22</f>
        <v>0</v>
      </c>
      <c r="M120" s="301">
        <f>'[6]MFR E-6'!$AJ$22</f>
        <v>0</v>
      </c>
      <c r="N120" s="301">
        <f>'[6]MFR E-6'!$AK$22</f>
        <v>103604.37724549197</v>
      </c>
      <c r="O120" s="301">
        <f>'[6]MFR E-6'!$AL$22</f>
        <v>0</v>
      </c>
      <c r="P120" s="302">
        <f t="shared" si="31"/>
        <v>0</v>
      </c>
      <c r="Q120" s="301">
        <f>'[6]MFR E-6'!$H$22</f>
        <v>108686.38194502472</v>
      </c>
      <c r="R120" s="301">
        <f>'[6]MFR E-6'!$I$22</f>
        <v>0</v>
      </c>
      <c r="S120" s="301">
        <f>'[6]MFR E-6'!$J$22</f>
        <v>0</v>
      </c>
      <c r="T120" s="301">
        <f>'[6]MFR E-6'!$K$22</f>
        <v>0</v>
      </c>
      <c r="U120" s="301">
        <f>'[6]MFR E-6'!$L$22</f>
        <v>0</v>
      </c>
      <c r="V120" s="301">
        <f>'[6]MFR E-6'!$V$22</f>
        <v>0</v>
      </c>
      <c r="W120" s="301">
        <f>'[6]MFR E-6'!$U$22</f>
        <v>0</v>
      </c>
      <c r="X120" s="301">
        <f>'[6]MFR E-6'!$N$22</f>
        <v>0</v>
      </c>
      <c r="Y120" s="301">
        <f>'[6]MFR E-6'!$O$22</f>
        <v>108686.38194502472</v>
      </c>
      <c r="Z120" s="301">
        <f>'[6]MFR E-6'!$P$22</f>
        <v>0</v>
      </c>
      <c r="AA120" s="302">
        <f t="shared" si="32"/>
        <v>0</v>
      </c>
      <c r="AB120" s="290"/>
      <c r="AC120" s="302">
        <f t="shared" si="30"/>
        <v>5082.0046995327575</v>
      </c>
      <c r="AD120" s="302">
        <f t="shared" si="30"/>
        <v>0</v>
      </c>
      <c r="AE120" s="302">
        <f t="shared" si="30"/>
        <v>0</v>
      </c>
      <c r="AF120" s="302">
        <f t="shared" si="30"/>
        <v>0</v>
      </c>
      <c r="AG120" s="302">
        <f t="shared" si="30"/>
        <v>0</v>
      </c>
      <c r="AH120" s="302">
        <f t="shared" si="30"/>
        <v>0</v>
      </c>
      <c r="AI120" s="302">
        <f t="shared" si="30"/>
        <v>0</v>
      </c>
      <c r="AJ120" s="302">
        <f t="shared" si="30"/>
        <v>0</v>
      </c>
      <c r="AK120" s="302">
        <f t="shared" si="30"/>
        <v>5082.0046995327575</v>
      </c>
      <c r="AL120" s="302">
        <f t="shared" si="30"/>
        <v>0</v>
      </c>
      <c r="AM120" s="302">
        <f t="shared" si="30"/>
        <v>0</v>
      </c>
    </row>
    <row r="121" spans="2:39" x14ac:dyDescent="0.3">
      <c r="D121" s="89" t="s">
        <v>75</v>
      </c>
      <c r="F121" s="301">
        <f>'[6]MFR E-6'!$AD$23</f>
        <v>198586.46210741164</v>
      </c>
      <c r="G121" s="301">
        <f>'[6]MFR E-6'!$AE$23</f>
        <v>164186.63972357428</v>
      </c>
      <c r="H121" s="301">
        <f>'[6]MFR E-6'!$AF$23</f>
        <v>13001.050234581051</v>
      </c>
      <c r="I121" s="301">
        <f>'[6]MFR E-6'!$AG$23</f>
        <v>1261.6373273987222</v>
      </c>
      <c r="J121" s="301">
        <f>'[6]MFR E-6'!$AH$23</f>
        <v>13780.780957437475</v>
      </c>
      <c r="K121" s="301">
        <f>'[6]MFR E-6'!$AQ$23</f>
        <v>126.95307336135114</v>
      </c>
      <c r="L121" s="301">
        <f>'[6]MFR E-6'!$AR$23</f>
        <v>1169.9717683592521</v>
      </c>
      <c r="M121" s="301">
        <f>'[6]MFR E-6'!$AJ$23</f>
        <v>5059.429022699559</v>
      </c>
      <c r="N121" s="301">
        <f>'[6]MFR E-6'!$AK$23</f>
        <v>0</v>
      </c>
      <c r="O121" s="301">
        <f>'[6]MFR E-6'!$AL$23</f>
        <v>0</v>
      </c>
      <c r="P121" s="302">
        <f t="shared" si="31"/>
        <v>0</v>
      </c>
      <c r="Q121" s="301">
        <f>'[6]MFR E-6'!$H$23</f>
        <v>208204.78433769639</v>
      </c>
      <c r="R121" s="301">
        <f>'[6]MFR E-6'!$I$23</f>
        <v>181329.5310897913</v>
      </c>
      <c r="S121" s="301">
        <f>'[6]MFR E-6'!$J$23</f>
        <v>13259.407967978179</v>
      </c>
      <c r="T121" s="301">
        <f>'[6]MFR E-6'!$K$23</f>
        <v>1509.3835590714721</v>
      </c>
      <c r="U121" s="301">
        <f>'[6]MFR E-6'!$L$23</f>
        <v>5420.4754789947719</v>
      </c>
      <c r="V121" s="301">
        <f>'[6]MFR E-6'!$V$23</f>
        <v>5.2387779114975661</v>
      </c>
      <c r="W121" s="301">
        <f>'[6]MFR E-6'!$U$23</f>
        <v>115.67729699683177</v>
      </c>
      <c r="X121" s="301">
        <f>'[6]MFR E-6'!$N$23</f>
        <v>6565.0701775241223</v>
      </c>
      <c r="Y121" s="301">
        <f>'[6]MFR E-6'!$O$23</f>
        <v>0</v>
      </c>
      <c r="Z121" s="301">
        <f>'[6]MFR E-6'!$P$23</f>
        <v>0</v>
      </c>
      <c r="AA121" s="302">
        <f t="shared" si="32"/>
        <v>-1.0571791790425777E-5</v>
      </c>
      <c r="AB121" s="290"/>
      <c r="AC121" s="302">
        <f t="shared" si="30"/>
        <v>9618.3222302847425</v>
      </c>
      <c r="AD121" s="302">
        <f t="shared" si="30"/>
        <v>17142.891366217023</v>
      </c>
      <c r="AE121" s="302">
        <f t="shared" si="30"/>
        <v>258.35773339712796</v>
      </c>
      <c r="AF121" s="302">
        <f t="shared" si="30"/>
        <v>247.7462316727499</v>
      </c>
      <c r="AG121" s="302">
        <f t="shared" si="30"/>
        <v>-8360.305478442704</v>
      </c>
      <c r="AH121" s="302">
        <f t="shared" si="30"/>
        <v>-121.71429544985358</v>
      </c>
      <c r="AI121" s="302">
        <f t="shared" si="30"/>
        <v>-1054.2944713624204</v>
      </c>
      <c r="AJ121" s="302">
        <f t="shared" si="30"/>
        <v>1505.6411548245633</v>
      </c>
      <c r="AK121" s="302">
        <f t="shared" si="30"/>
        <v>0</v>
      </c>
      <c r="AL121" s="302">
        <f t="shared" si="30"/>
        <v>0</v>
      </c>
      <c r="AM121" s="302">
        <f t="shared" si="30"/>
        <v>-1.0571791790425777E-5</v>
      </c>
    </row>
    <row r="122" spans="2:39" ht="15" thickBot="1" x14ac:dyDescent="0.35">
      <c r="D122" s="278" t="s">
        <v>77</v>
      </c>
      <c r="F122" s="303">
        <f>+'[6]1-Summary (present rev)'!$H$43</f>
        <v>3359765.9320484721</v>
      </c>
      <c r="G122" s="303">
        <f>+'[6]1-Summary (present rev)'!$I$43</f>
        <v>2136817.2897654371</v>
      </c>
      <c r="H122" s="303">
        <f>+'[6]1-Summary (present rev)'!J$43</f>
        <v>195835.42534473335</v>
      </c>
      <c r="I122" s="303">
        <f>+'[6]1-Summary (present rev)'!K$43</f>
        <v>11506.590271240811</v>
      </c>
      <c r="J122" s="303">
        <f>+'[6]1-Summary (present rev)'!L$43</f>
        <v>776910.96991675324</v>
      </c>
      <c r="K122" s="303">
        <f>+'[6]1-Summary (present rev)'!M$43</f>
        <v>9264.1703806879759</v>
      </c>
      <c r="L122" s="303">
        <f>+'[6]1-Summary (present rev)'!N$43</f>
        <v>101733.74393733128</v>
      </c>
      <c r="M122" s="303">
        <f>+'[6]1-Summary (present rev)'!O$43</f>
        <v>19150.947270913439</v>
      </c>
      <c r="N122" s="303">
        <f>+'[6]1-Summary (present rev)'!P$43</f>
        <v>103604.37724549197</v>
      </c>
      <c r="O122" s="303">
        <f>+'[6]1-Summary (present rev)'!Q$43</f>
        <v>4942.4207110416974</v>
      </c>
      <c r="P122" s="302">
        <f t="shared" si="31"/>
        <v>-2.7951593510806561E-3</v>
      </c>
      <c r="Q122" s="303">
        <f>'[6]MFR E-6'!$H$25</f>
        <v>3511422.3047674615</v>
      </c>
      <c r="R122" s="303">
        <f>'[6]MFR E-6'!$I$25</f>
        <v>2226124.5382261286</v>
      </c>
      <c r="S122" s="303">
        <f>'[6]MFR E-6'!$J$25</f>
        <v>195758.69503882018</v>
      </c>
      <c r="T122" s="303">
        <f>'[6]MFR E-6'!$K$25</f>
        <v>12350.820403265423</v>
      </c>
      <c r="U122" s="303">
        <f>'[6]MFR E-6'!$L$25</f>
        <v>821510.02348476264</v>
      </c>
      <c r="V122" s="303">
        <f>'[6]MFR E-6'!$V$25</f>
        <v>9676.6007900634759</v>
      </c>
      <c r="W122" s="303">
        <f>'[6]MFR E-6'!$U$25</f>
        <v>110871.75456091971</v>
      </c>
      <c r="X122" s="303">
        <f>'[6]MFR E-6'!$N$25</f>
        <v>21869.279106252194</v>
      </c>
      <c r="Y122" s="303">
        <f>'[6]MFR E-6'!$O$25</f>
        <v>108686.38194502472</v>
      </c>
      <c r="Z122" s="303">
        <f>'[6]MFR E-6'!$P$25</f>
        <v>4574.2112227967818</v>
      </c>
      <c r="AA122" s="302">
        <f>+Q122-SUM(R122:Z122)</f>
        <v>-1.0572373867034912E-5</v>
      </c>
      <c r="AB122" s="290"/>
      <c r="AC122" s="304">
        <f>SUM(AC110:AC121)</f>
        <v>151656.36927657702</v>
      </c>
      <c r="AD122" s="304">
        <f t="shared" ref="AD122:AM122" si="33">SUM(AD110:AD121)</f>
        <v>89307.236953661646</v>
      </c>
      <c r="AE122" s="304">
        <f t="shared" si="33"/>
        <v>-76.730305913184452</v>
      </c>
      <c r="AF122" s="304">
        <f t="shared" si="33"/>
        <v>844.23013202460959</v>
      </c>
      <c r="AG122" s="304">
        <f t="shared" si="33"/>
        <v>44599.053568009316</v>
      </c>
      <c r="AH122" s="304">
        <f t="shared" si="33"/>
        <v>412.43040937550063</v>
      </c>
      <c r="AI122" s="304">
        <f t="shared" si="33"/>
        <v>9138.0106235884305</v>
      </c>
      <c r="AJ122" s="304">
        <f t="shared" si="33"/>
        <v>2718.3318353387572</v>
      </c>
      <c r="AK122" s="304">
        <f t="shared" si="33"/>
        <v>5082.0046995327575</v>
      </c>
      <c r="AL122" s="304">
        <f t="shared" si="33"/>
        <v>-368.20948824491552</v>
      </c>
      <c r="AM122" s="304">
        <f t="shared" si="33"/>
        <v>1.084920420544222E-2</v>
      </c>
    </row>
    <row r="123" spans="2:39" ht="15" thickTop="1" x14ac:dyDescent="0.3">
      <c r="F123" s="305">
        <f t="shared" ref="F123:N123" si="34">SUM(F110:F121)-F122</f>
        <v>3.4424122422933578E-3</v>
      </c>
      <c r="G123" s="305">
        <f t="shared" si="34"/>
        <v>1.1507029645144939E-2</v>
      </c>
      <c r="H123" s="305">
        <f t="shared" si="34"/>
        <v>0</v>
      </c>
      <c r="I123" s="305">
        <f t="shared" si="34"/>
        <v>0</v>
      </c>
      <c r="J123" s="305">
        <f t="shared" si="34"/>
        <v>0</v>
      </c>
      <c r="K123" s="305">
        <f t="shared" si="34"/>
        <v>0</v>
      </c>
      <c r="L123" s="305">
        <f>SUM(L110:L121)-L122</f>
        <v>0</v>
      </c>
      <c r="M123" s="305">
        <f t="shared" si="34"/>
        <v>0</v>
      </c>
      <c r="N123" s="305">
        <f t="shared" si="34"/>
        <v>0</v>
      </c>
      <c r="O123" s="305"/>
      <c r="Q123" s="305">
        <f t="shared" ref="Q123:Y123" si="35">SUM(Q110:Q121)-Q122</f>
        <v>0</v>
      </c>
      <c r="R123" s="305">
        <f t="shared" si="35"/>
        <v>0</v>
      </c>
      <c r="S123" s="305">
        <f t="shared" si="35"/>
        <v>0</v>
      </c>
      <c r="T123" s="305">
        <f t="shared" si="35"/>
        <v>0</v>
      </c>
      <c r="U123" s="305">
        <f t="shared" si="35"/>
        <v>0</v>
      </c>
      <c r="V123" s="305">
        <f t="shared" si="35"/>
        <v>0</v>
      </c>
      <c r="W123" s="305">
        <f t="shared" si="35"/>
        <v>0</v>
      </c>
      <c r="X123" s="305">
        <f t="shared" si="35"/>
        <v>0</v>
      </c>
      <c r="Y123" s="305">
        <f t="shared" si="35"/>
        <v>0</v>
      </c>
      <c r="Z123" s="305"/>
      <c r="AB123" s="307"/>
    </row>
    <row r="124" spans="2:39" x14ac:dyDescent="0.3">
      <c r="F124" s="305"/>
      <c r="G124" s="305"/>
      <c r="H124" s="305"/>
      <c r="I124" s="305"/>
      <c r="J124" s="305"/>
      <c r="K124" s="305"/>
      <c r="L124" s="305"/>
      <c r="M124" s="305"/>
      <c r="N124" s="305"/>
      <c r="O124" s="305"/>
      <c r="Q124" s="305"/>
      <c r="R124" s="305"/>
      <c r="S124" s="305"/>
      <c r="T124" s="305"/>
      <c r="U124" s="305"/>
      <c r="V124" s="305"/>
      <c r="W124" s="305"/>
      <c r="X124" s="305"/>
      <c r="Y124" s="305"/>
      <c r="Z124" s="305"/>
      <c r="AB124" s="290"/>
    </row>
    <row r="125" spans="2:39" x14ac:dyDescent="0.3">
      <c r="D125" s="289" t="s">
        <v>289</v>
      </c>
      <c r="E125" s="290"/>
      <c r="F125" s="291" t="s">
        <v>288</v>
      </c>
      <c r="G125" s="291"/>
      <c r="H125" s="291"/>
      <c r="I125" s="291"/>
      <c r="J125" s="291"/>
      <c r="K125" s="291"/>
      <c r="L125" s="291"/>
      <c r="M125" s="291"/>
      <c r="N125" s="291"/>
      <c r="O125" s="291"/>
      <c r="P125" s="290"/>
      <c r="Q125" s="291" t="s">
        <v>281</v>
      </c>
      <c r="R125" s="291"/>
      <c r="S125" s="291"/>
      <c r="T125" s="291"/>
      <c r="U125" s="291"/>
      <c r="V125" s="291"/>
      <c r="W125" s="291"/>
      <c r="X125" s="291"/>
      <c r="Y125" s="291"/>
      <c r="Z125" s="291"/>
      <c r="AA125" s="290"/>
      <c r="AB125" s="290"/>
    </row>
    <row r="126" spans="2:39" x14ac:dyDescent="0.3">
      <c r="B126" s="279"/>
      <c r="F126" s="292"/>
      <c r="G126" s="292"/>
      <c r="H126" s="292" t="s">
        <v>33</v>
      </c>
      <c r="I126" s="292" t="s">
        <v>33</v>
      </c>
      <c r="J126" s="292" t="s">
        <v>33</v>
      </c>
      <c r="M126" s="293"/>
      <c r="N126" s="293"/>
      <c r="O126" s="293"/>
      <c r="Q126" s="292"/>
      <c r="R126" s="292"/>
      <c r="S126" s="292" t="s">
        <v>33</v>
      </c>
      <c r="T126" s="292" t="s">
        <v>33</v>
      </c>
      <c r="U126" s="292" t="s">
        <v>33</v>
      </c>
      <c r="X126" s="293"/>
      <c r="Y126" s="293"/>
      <c r="AB126" s="290"/>
    </row>
    <row r="127" spans="2:39" x14ac:dyDescent="0.3">
      <c r="F127" s="292" t="s">
        <v>37</v>
      </c>
      <c r="G127" s="292" t="s">
        <v>38</v>
      </c>
      <c r="H127" s="292" t="s">
        <v>39</v>
      </c>
      <c r="I127" s="294" t="s">
        <v>40</v>
      </c>
      <c r="J127" s="292" t="s">
        <v>41</v>
      </c>
      <c r="K127" s="292" t="s">
        <v>46</v>
      </c>
      <c r="L127" s="292" t="s">
        <v>42</v>
      </c>
      <c r="M127" s="357" t="s">
        <v>43</v>
      </c>
      <c r="N127" s="357"/>
      <c r="O127" s="295" t="s">
        <v>284</v>
      </c>
      <c r="Q127" s="292" t="s">
        <v>37</v>
      </c>
      <c r="R127" s="292" t="s">
        <v>38</v>
      </c>
      <c r="S127" s="292" t="s">
        <v>39</v>
      </c>
      <c r="T127" s="294" t="s">
        <v>40</v>
      </c>
      <c r="U127" s="292" t="s">
        <v>41</v>
      </c>
      <c r="V127" s="292" t="s">
        <v>46</v>
      </c>
      <c r="W127" s="292" t="s">
        <v>42</v>
      </c>
      <c r="X127" s="296" t="s">
        <v>43</v>
      </c>
      <c r="Y127" s="297"/>
      <c r="Z127" s="292" t="s">
        <v>284</v>
      </c>
      <c r="AB127" s="290"/>
    </row>
    <row r="128" spans="2:39" x14ac:dyDescent="0.3">
      <c r="F128" s="298" t="s">
        <v>48</v>
      </c>
      <c r="G128" s="298" t="s">
        <v>49</v>
      </c>
      <c r="H128" s="298" t="s">
        <v>50</v>
      </c>
      <c r="I128" s="298" t="s">
        <v>51</v>
      </c>
      <c r="J128" s="298" t="s">
        <v>52</v>
      </c>
      <c r="K128" s="298" t="s">
        <v>57</v>
      </c>
      <c r="L128" s="299" t="s">
        <v>58</v>
      </c>
      <c r="M128" s="298" t="s">
        <v>54</v>
      </c>
      <c r="N128" s="298" t="s">
        <v>55</v>
      </c>
      <c r="O128" s="298" t="s">
        <v>44</v>
      </c>
      <c r="P128" s="285"/>
      <c r="Q128" s="298" t="s">
        <v>48</v>
      </c>
      <c r="R128" s="298" t="s">
        <v>49</v>
      </c>
      <c r="S128" s="298" t="s">
        <v>50</v>
      </c>
      <c r="T128" s="298" t="s">
        <v>51</v>
      </c>
      <c r="U128" s="298" t="s">
        <v>52</v>
      </c>
      <c r="V128" s="298" t="s">
        <v>57</v>
      </c>
      <c r="W128" s="299" t="s">
        <v>58</v>
      </c>
      <c r="X128" s="298" t="s">
        <v>54</v>
      </c>
      <c r="Y128" s="298" t="s">
        <v>55</v>
      </c>
      <c r="Z128" s="299" t="s">
        <v>44</v>
      </c>
      <c r="AA128" s="285"/>
      <c r="AB128" s="290"/>
    </row>
    <row r="129" spans="4:39" ht="18" x14ac:dyDescent="0.3">
      <c r="D129" s="300"/>
      <c r="E129" s="300">
        <v>2027</v>
      </c>
      <c r="F129" s="292"/>
      <c r="G129" s="292"/>
      <c r="H129" s="292"/>
      <c r="I129" s="292"/>
      <c r="J129" s="292"/>
      <c r="K129" s="292"/>
      <c r="M129" s="292"/>
      <c r="N129" s="292"/>
      <c r="O129" s="292"/>
      <c r="Q129" s="292"/>
      <c r="R129" s="292"/>
      <c r="S129" s="292"/>
      <c r="T129" s="292"/>
      <c r="U129" s="292"/>
      <c r="V129" s="292"/>
      <c r="X129" s="292"/>
      <c r="Y129" s="292"/>
      <c r="AB129" s="290"/>
    </row>
    <row r="130" spans="4:39" x14ac:dyDescent="0.3">
      <c r="D130" s="89" t="s">
        <v>285</v>
      </c>
      <c r="F130" s="287">
        <f>+F30-F80</f>
        <v>7.9510095063596964E-2</v>
      </c>
      <c r="G130" s="287">
        <f t="shared" ref="G130:O130" si="36">+G30-G80</f>
        <v>-22728.857752666925</v>
      </c>
      <c r="H130" s="287">
        <f t="shared" si="36"/>
        <v>345.79219715655199</v>
      </c>
      <c r="I130" s="287">
        <f t="shared" si="36"/>
        <v>425.58542754753671</v>
      </c>
      <c r="J130" s="287">
        <f t="shared" si="36"/>
        <v>14137.428538429027</v>
      </c>
      <c r="K130" s="287">
        <f t="shared" si="36"/>
        <v>518.68214483384327</v>
      </c>
      <c r="L130" s="287">
        <f t="shared" si="36"/>
        <v>5466.1126417796113</v>
      </c>
      <c r="M130" s="287">
        <f t="shared" si="36"/>
        <v>1835.3360504624072</v>
      </c>
      <c r="N130" s="287">
        <f t="shared" si="36"/>
        <v>0</v>
      </c>
      <c r="O130" s="287">
        <f t="shared" si="36"/>
        <v>0</v>
      </c>
      <c r="P130" s="287"/>
      <c r="Q130" s="287">
        <f>+Q30-Q80</f>
        <v>9.2188275884836912E-2</v>
      </c>
      <c r="R130" s="287">
        <f t="shared" ref="R130:Z130" si="37">+R30-R80</f>
        <v>-23685.633496929891</v>
      </c>
      <c r="S130" s="287">
        <f t="shared" si="37"/>
        <v>360.34898049602634</v>
      </c>
      <c r="T130" s="287">
        <f t="shared" si="37"/>
        <v>443.50067626269447</v>
      </c>
      <c r="U130" s="287">
        <f t="shared" si="37"/>
        <v>14732.5527185268</v>
      </c>
      <c r="V130" s="287">
        <f t="shared" si="37"/>
        <v>540.51633905897779</v>
      </c>
      <c r="W130" s="287">
        <f t="shared" si="37"/>
        <v>5696.2115866450622</v>
      </c>
      <c r="X130" s="287">
        <f t="shared" si="37"/>
        <v>1912.5953842168003</v>
      </c>
      <c r="Y130" s="287">
        <f t="shared" si="37"/>
        <v>0</v>
      </c>
      <c r="Z130" s="287">
        <f t="shared" si="37"/>
        <v>0</v>
      </c>
      <c r="AA130" s="287"/>
      <c r="AB130" s="290"/>
      <c r="AC130" s="302">
        <f t="shared" ref="AC130:AM141" si="38">Q130-F130</f>
        <v>1.2678180821239948E-2</v>
      </c>
      <c r="AD130" s="302">
        <f t="shared" si="38"/>
        <v>-956.77574426296633</v>
      </c>
      <c r="AE130" s="302">
        <f t="shared" si="38"/>
        <v>14.55678333947435</v>
      </c>
      <c r="AF130" s="302">
        <f t="shared" si="38"/>
        <v>17.915248715157759</v>
      </c>
      <c r="AG130" s="302">
        <f t="shared" si="38"/>
        <v>595.12418009777321</v>
      </c>
      <c r="AH130" s="302">
        <f t="shared" si="38"/>
        <v>21.834194225134524</v>
      </c>
      <c r="AI130" s="302">
        <f t="shared" si="38"/>
        <v>230.0989448654509</v>
      </c>
      <c r="AJ130" s="302">
        <f t="shared" si="38"/>
        <v>77.259333754393083</v>
      </c>
      <c r="AK130" s="302">
        <f t="shared" si="38"/>
        <v>0</v>
      </c>
      <c r="AL130" s="302">
        <f t="shared" si="38"/>
        <v>0</v>
      </c>
      <c r="AM130" s="302">
        <f t="shared" si="38"/>
        <v>0</v>
      </c>
    </row>
    <row r="131" spans="4:39" x14ac:dyDescent="0.3">
      <c r="D131" s="89" t="s">
        <v>63</v>
      </c>
      <c r="F131" s="287">
        <f t="shared" ref="F131:O141" si="39">+F31-F81</f>
        <v>-1.1332536232657731E-3</v>
      </c>
      <c r="G131" s="287">
        <f t="shared" si="39"/>
        <v>4558.7421841172618</v>
      </c>
      <c r="H131" s="287">
        <f t="shared" si="39"/>
        <v>-69.354676163686236</v>
      </c>
      <c r="I131" s="287">
        <f t="shared" si="39"/>
        <v>-85.359725542790557</v>
      </c>
      <c r="J131" s="287">
        <f t="shared" si="39"/>
        <v>-2835.5439018414982</v>
      </c>
      <c r="K131" s="287">
        <f t="shared" si="39"/>
        <v>-104.03216266637969</v>
      </c>
      <c r="L131" s="287">
        <f t="shared" si="39"/>
        <v>-1096.3390896578603</v>
      </c>
      <c r="M131" s="287">
        <f t="shared" si="39"/>
        <v>-368.11376149848047</v>
      </c>
      <c r="N131" s="287">
        <f t="shared" si="39"/>
        <v>0</v>
      </c>
      <c r="O131" s="287">
        <f t="shared" si="39"/>
        <v>0</v>
      </c>
      <c r="P131" s="287"/>
      <c r="Q131" s="287">
        <f t="shared" ref="Q131:Z141" si="40">+Q31-Q81</f>
        <v>1.7677387222647667E-4</v>
      </c>
      <c r="R131" s="287">
        <f t="shared" si="40"/>
        <v>9.4151735538616776E-5</v>
      </c>
      <c r="S131" s="287">
        <f t="shared" si="40"/>
        <v>9.7200445452472195E-6</v>
      </c>
      <c r="T131" s="287">
        <f t="shared" si="40"/>
        <v>9.1888796305283904E-7</v>
      </c>
      <c r="U131" s="287">
        <f t="shared" si="40"/>
        <v>5.8330479077994823E-5</v>
      </c>
      <c r="V131" s="287">
        <f t="shared" si="40"/>
        <v>9.023906386573799E-7</v>
      </c>
      <c r="W131" s="287">
        <f t="shared" si="40"/>
        <v>1.1273121344856918E-5</v>
      </c>
      <c r="X131" s="287">
        <f t="shared" si="40"/>
        <v>1.4771599126106594E-6</v>
      </c>
      <c r="Y131" s="287">
        <f t="shared" si="40"/>
        <v>0</v>
      </c>
      <c r="Z131" s="287">
        <f t="shared" si="40"/>
        <v>0</v>
      </c>
      <c r="AA131" s="287"/>
      <c r="AB131" s="290"/>
      <c r="AC131" s="302">
        <f t="shared" si="38"/>
        <v>1.3100274954922497E-3</v>
      </c>
      <c r="AD131" s="302">
        <f t="shared" si="38"/>
        <v>-4558.7420899655262</v>
      </c>
      <c r="AE131" s="302">
        <f t="shared" si="38"/>
        <v>69.354685883730781</v>
      </c>
      <c r="AF131" s="302">
        <f t="shared" si="38"/>
        <v>85.35972646167852</v>
      </c>
      <c r="AG131" s="302">
        <f t="shared" si="38"/>
        <v>2835.5439601719772</v>
      </c>
      <c r="AH131" s="302">
        <f t="shared" si="38"/>
        <v>104.03216356877033</v>
      </c>
      <c r="AI131" s="302">
        <f t="shared" si="38"/>
        <v>1096.3391009309817</v>
      </c>
      <c r="AJ131" s="302">
        <f t="shared" si="38"/>
        <v>368.11376297564038</v>
      </c>
      <c r="AK131" s="302">
        <f t="shared" si="38"/>
        <v>0</v>
      </c>
      <c r="AL131" s="302">
        <f t="shared" si="38"/>
        <v>0</v>
      </c>
      <c r="AM131" s="302">
        <f t="shared" si="38"/>
        <v>0</v>
      </c>
    </row>
    <row r="132" spans="4:39" x14ac:dyDescent="0.3">
      <c r="D132" s="89" t="s">
        <v>64</v>
      </c>
      <c r="F132" s="287">
        <f t="shared" si="39"/>
        <v>-2.2574021713808179E-3</v>
      </c>
      <c r="G132" s="287">
        <f t="shared" si="39"/>
        <v>-1.5110021340660751E-3</v>
      </c>
      <c r="H132" s="287">
        <f t="shared" si="39"/>
        <v>-1.6461288032587618E-4</v>
      </c>
      <c r="I132" s="287">
        <f t="shared" si="39"/>
        <v>-7.2085681495082099E-6</v>
      </c>
      <c r="J132" s="287">
        <f t="shared" si="39"/>
        <v>-5.0313709652982652E-4</v>
      </c>
      <c r="K132" s="287">
        <f t="shared" si="39"/>
        <v>-6.4990811097231926E-6</v>
      </c>
      <c r="L132" s="287">
        <f t="shared" si="39"/>
        <v>-5.4349493439076468E-5</v>
      </c>
      <c r="M132" s="287">
        <f t="shared" si="39"/>
        <v>-1.0592864327918505E-5</v>
      </c>
      <c r="N132" s="287">
        <f t="shared" si="39"/>
        <v>0</v>
      </c>
      <c r="O132" s="287">
        <f t="shared" si="39"/>
        <v>0</v>
      </c>
      <c r="P132" s="287"/>
      <c r="Q132" s="287">
        <f t="shared" si="40"/>
        <v>4.9293739721179008E-4</v>
      </c>
      <c r="R132" s="287">
        <f t="shared" si="40"/>
        <v>3.1125149689614773E-4</v>
      </c>
      <c r="S132" s="287">
        <f t="shared" si="40"/>
        <v>2.635515556903556E-5</v>
      </c>
      <c r="T132" s="287">
        <f t="shared" si="40"/>
        <v>1.6269409570668358E-6</v>
      </c>
      <c r="U132" s="287">
        <f t="shared" si="40"/>
        <v>1.3238505925983191E-4</v>
      </c>
      <c r="V132" s="287">
        <f t="shared" si="40"/>
        <v>1.4000770534039475E-6</v>
      </c>
      <c r="W132" s="287">
        <f t="shared" si="40"/>
        <v>1.9743678421946242E-5</v>
      </c>
      <c r="X132" s="287">
        <f t="shared" si="40"/>
        <v>1.7500963167549344E-7</v>
      </c>
      <c r="Y132" s="287">
        <f t="shared" si="40"/>
        <v>0</v>
      </c>
      <c r="Z132" s="287">
        <f t="shared" si="40"/>
        <v>0</v>
      </c>
      <c r="AA132" s="287"/>
      <c r="AB132" s="290"/>
      <c r="AC132" s="302">
        <f t="shared" si="38"/>
        <v>2.750339568592608E-3</v>
      </c>
      <c r="AD132" s="302">
        <f t="shared" si="38"/>
        <v>1.8222536309622228E-3</v>
      </c>
      <c r="AE132" s="302">
        <f t="shared" si="38"/>
        <v>1.9096803589491174E-4</v>
      </c>
      <c r="AF132" s="302">
        <f t="shared" si="38"/>
        <v>8.8355091065750457E-6</v>
      </c>
      <c r="AG132" s="302">
        <f t="shared" si="38"/>
        <v>6.3552215578965843E-4</v>
      </c>
      <c r="AH132" s="302">
        <f t="shared" si="38"/>
        <v>7.8991581631271401E-6</v>
      </c>
      <c r="AI132" s="302">
        <f t="shared" si="38"/>
        <v>7.4093171861022711E-5</v>
      </c>
      <c r="AJ132" s="302">
        <f t="shared" si="38"/>
        <v>1.0767873959593999E-5</v>
      </c>
      <c r="AK132" s="302">
        <f t="shared" si="38"/>
        <v>0</v>
      </c>
      <c r="AL132" s="302">
        <f t="shared" si="38"/>
        <v>0</v>
      </c>
      <c r="AM132" s="302">
        <f t="shared" si="38"/>
        <v>0</v>
      </c>
    </row>
    <row r="133" spans="4:39" x14ac:dyDescent="0.3">
      <c r="D133" s="89" t="s">
        <v>65</v>
      </c>
      <c r="F133" s="287">
        <f t="shared" si="39"/>
        <v>-2.865441725589335E-3</v>
      </c>
      <c r="G133" s="287">
        <f t="shared" si="39"/>
        <v>-1.9144570687785745E-3</v>
      </c>
      <c r="H133" s="287">
        <f t="shared" si="39"/>
        <v>-2.0838331693084911E-4</v>
      </c>
      <c r="I133" s="287">
        <f t="shared" si="39"/>
        <v>-9.5192906428565038E-6</v>
      </c>
      <c r="J133" s="287">
        <f t="shared" si="39"/>
        <v>-6.3979328842833638E-4</v>
      </c>
      <c r="K133" s="287">
        <f t="shared" si="39"/>
        <v>-7.4631675488490146E-6</v>
      </c>
      <c r="L133" s="287">
        <f t="shared" si="39"/>
        <v>-7.7055348810972646E-5</v>
      </c>
      <c r="M133" s="287">
        <f t="shared" si="39"/>
        <v>-8.7701600932632573E-6</v>
      </c>
      <c r="N133" s="287">
        <f t="shared" si="39"/>
        <v>0</v>
      </c>
      <c r="O133" s="287">
        <f t="shared" si="39"/>
        <v>0</v>
      </c>
      <c r="P133" s="287"/>
      <c r="Q133" s="287">
        <f t="shared" si="40"/>
        <v>8.104053558781743E-4</v>
      </c>
      <c r="R133" s="287">
        <f t="shared" si="40"/>
        <v>5.224721971899271E-4</v>
      </c>
      <c r="S133" s="287">
        <f t="shared" si="40"/>
        <v>4.7180139517877251E-5</v>
      </c>
      <c r="T133" s="287">
        <f t="shared" si="40"/>
        <v>2.163356384699E-6</v>
      </c>
      <c r="U133" s="287">
        <f t="shared" si="40"/>
        <v>2.0887164282612503E-4</v>
      </c>
      <c r="V133" s="287">
        <f t="shared" si="40"/>
        <v>3.3613905543461442E-6</v>
      </c>
      <c r="W133" s="287">
        <f t="shared" si="40"/>
        <v>1.9116836483590305E-5</v>
      </c>
      <c r="X133" s="287">
        <f t="shared" si="40"/>
        <v>7.2399197961203754E-6</v>
      </c>
      <c r="Y133" s="287">
        <f t="shared" si="40"/>
        <v>0</v>
      </c>
      <c r="Z133" s="287">
        <f t="shared" si="40"/>
        <v>0</v>
      </c>
      <c r="AA133" s="287"/>
      <c r="AB133" s="290"/>
      <c r="AC133" s="302">
        <f t="shared" si="38"/>
        <v>3.6758470814675093E-3</v>
      </c>
      <c r="AD133" s="302">
        <f t="shared" si="38"/>
        <v>2.4369292659685016E-3</v>
      </c>
      <c r="AE133" s="302">
        <f t="shared" si="38"/>
        <v>2.5556345644872636E-4</v>
      </c>
      <c r="AF133" s="302">
        <f t="shared" si="38"/>
        <v>1.1682647027555504E-5</v>
      </c>
      <c r="AG133" s="302">
        <f t="shared" si="38"/>
        <v>8.4866493125446141E-4</v>
      </c>
      <c r="AH133" s="302">
        <f t="shared" si="38"/>
        <v>1.0824558103195159E-5</v>
      </c>
      <c r="AI133" s="302">
        <f t="shared" si="38"/>
        <v>9.6172185294562951E-5</v>
      </c>
      <c r="AJ133" s="302">
        <f t="shared" si="38"/>
        <v>1.6010079889383633E-5</v>
      </c>
      <c r="AK133" s="302">
        <f t="shared" si="38"/>
        <v>0</v>
      </c>
      <c r="AL133" s="302">
        <f t="shared" si="38"/>
        <v>0</v>
      </c>
      <c r="AM133" s="302">
        <f t="shared" si="38"/>
        <v>0</v>
      </c>
    </row>
    <row r="134" spans="4:39" x14ac:dyDescent="0.3">
      <c r="D134" s="89" t="s">
        <v>66</v>
      </c>
      <c r="F134" s="287">
        <f t="shared" si="39"/>
        <v>0</v>
      </c>
      <c r="G134" s="287">
        <f t="shared" si="39"/>
        <v>0</v>
      </c>
      <c r="H134" s="287">
        <f t="shared" si="39"/>
        <v>0</v>
      </c>
      <c r="I134" s="287">
        <f t="shared" si="39"/>
        <v>0</v>
      </c>
      <c r="J134" s="287">
        <f t="shared" si="39"/>
        <v>0</v>
      </c>
      <c r="K134" s="287">
        <f t="shared" si="39"/>
        <v>0</v>
      </c>
      <c r="L134" s="287">
        <f t="shared" si="39"/>
        <v>0</v>
      </c>
      <c r="M134" s="287">
        <f t="shared" si="39"/>
        <v>0</v>
      </c>
      <c r="N134" s="287">
        <f t="shared" si="39"/>
        <v>0</v>
      </c>
      <c r="O134" s="287">
        <f t="shared" si="39"/>
        <v>0</v>
      </c>
      <c r="P134" s="287"/>
      <c r="Q134" s="287">
        <f t="shared" si="40"/>
        <v>0</v>
      </c>
      <c r="R134" s="287">
        <f t="shared" si="40"/>
        <v>0</v>
      </c>
      <c r="S134" s="287">
        <f t="shared" si="40"/>
        <v>0</v>
      </c>
      <c r="T134" s="287">
        <f t="shared" si="40"/>
        <v>0</v>
      </c>
      <c r="U134" s="287">
        <f t="shared" si="40"/>
        <v>0</v>
      </c>
      <c r="V134" s="287">
        <f t="shared" si="40"/>
        <v>0</v>
      </c>
      <c r="W134" s="287">
        <f t="shared" si="40"/>
        <v>0</v>
      </c>
      <c r="X134" s="287">
        <f t="shared" si="40"/>
        <v>0</v>
      </c>
      <c r="Y134" s="287">
        <f t="shared" si="40"/>
        <v>0</v>
      </c>
      <c r="Z134" s="287">
        <f t="shared" si="40"/>
        <v>0</v>
      </c>
      <c r="AA134" s="287"/>
      <c r="AB134" s="290"/>
      <c r="AC134" s="302">
        <f t="shared" si="38"/>
        <v>0</v>
      </c>
      <c r="AD134" s="302">
        <f t="shared" si="38"/>
        <v>0</v>
      </c>
      <c r="AE134" s="302">
        <f t="shared" si="38"/>
        <v>0</v>
      </c>
      <c r="AF134" s="302">
        <f t="shared" si="38"/>
        <v>0</v>
      </c>
      <c r="AG134" s="302">
        <f t="shared" si="38"/>
        <v>0</v>
      </c>
      <c r="AH134" s="302">
        <f t="shared" si="38"/>
        <v>0</v>
      </c>
      <c r="AI134" s="302">
        <f t="shared" si="38"/>
        <v>0</v>
      </c>
      <c r="AJ134" s="302">
        <f t="shared" si="38"/>
        <v>0</v>
      </c>
      <c r="AK134" s="302">
        <f t="shared" si="38"/>
        <v>0</v>
      </c>
      <c r="AL134" s="302">
        <f t="shared" si="38"/>
        <v>0</v>
      </c>
      <c r="AM134" s="302">
        <f t="shared" si="38"/>
        <v>0</v>
      </c>
    </row>
    <row r="135" spans="4:39" x14ac:dyDescent="0.3">
      <c r="D135" s="89" t="s">
        <v>68</v>
      </c>
      <c r="F135" s="287">
        <f t="shared" si="39"/>
        <v>-1.04335235664621E-3</v>
      </c>
      <c r="G135" s="287">
        <f t="shared" si="39"/>
        <v>-6.5149783040396869E-4</v>
      </c>
      <c r="H135" s="287">
        <f t="shared" si="39"/>
        <v>-7.5684714829549193E-5</v>
      </c>
      <c r="I135" s="287">
        <f t="shared" si="39"/>
        <v>-4.0934759226729511E-6</v>
      </c>
      <c r="J135" s="287">
        <f t="shared" si="39"/>
        <v>-2.7307122945785522E-4</v>
      </c>
      <c r="K135" s="287">
        <f t="shared" si="39"/>
        <v>-4.1194104483111005E-6</v>
      </c>
      <c r="L135" s="287">
        <f t="shared" si="39"/>
        <v>-3.6027872283739271E-5</v>
      </c>
      <c r="M135" s="287">
        <f t="shared" si="39"/>
        <v>-4.1625896756158909E-6</v>
      </c>
      <c r="N135" s="287">
        <f t="shared" si="39"/>
        <v>0</v>
      </c>
      <c r="O135" s="287">
        <f t="shared" si="39"/>
        <v>5.3048406698508188E-6</v>
      </c>
      <c r="P135" s="287"/>
      <c r="Q135" s="287">
        <f t="shared" si="40"/>
        <v>5.226874491199851E-4</v>
      </c>
      <c r="R135" s="287">
        <f t="shared" si="40"/>
        <v>4.0242559043690562E-4</v>
      </c>
      <c r="S135" s="287">
        <f t="shared" si="40"/>
        <v>3.3409727620892227E-5</v>
      </c>
      <c r="T135" s="287">
        <f t="shared" si="40"/>
        <v>6.7753421717497986E-7</v>
      </c>
      <c r="U135" s="287">
        <f t="shared" si="40"/>
        <v>7.4504459917079657E-5</v>
      </c>
      <c r="V135" s="287">
        <f t="shared" si="40"/>
        <v>0</v>
      </c>
      <c r="W135" s="287">
        <f t="shared" si="40"/>
        <v>2.272843858008855E-6</v>
      </c>
      <c r="X135" s="287">
        <f t="shared" si="40"/>
        <v>2.26744464271178E-6</v>
      </c>
      <c r="Y135" s="287">
        <f t="shared" si="40"/>
        <v>0</v>
      </c>
      <c r="Z135" s="287">
        <f t="shared" si="40"/>
        <v>7.1298854891210794E-6</v>
      </c>
      <c r="AA135" s="287"/>
      <c r="AB135" s="290"/>
      <c r="AC135" s="302">
        <f t="shared" si="38"/>
        <v>1.5660398057661951E-3</v>
      </c>
      <c r="AD135" s="302">
        <f t="shared" si="38"/>
        <v>1.0539234208408743E-3</v>
      </c>
      <c r="AE135" s="302">
        <f t="shared" si="38"/>
        <v>1.0909444245044142E-4</v>
      </c>
      <c r="AF135" s="302">
        <f t="shared" si="38"/>
        <v>4.771010139847931E-6</v>
      </c>
      <c r="AG135" s="302">
        <f t="shared" si="38"/>
        <v>3.4757568937493488E-4</v>
      </c>
      <c r="AH135" s="302">
        <f t="shared" si="38"/>
        <v>4.1194104483111005E-6</v>
      </c>
      <c r="AI135" s="302">
        <f t="shared" si="38"/>
        <v>3.8300716141748126E-5</v>
      </c>
      <c r="AJ135" s="302">
        <f t="shared" si="38"/>
        <v>6.4300343183276709E-6</v>
      </c>
      <c r="AK135" s="302">
        <f t="shared" si="38"/>
        <v>0</v>
      </c>
      <c r="AL135" s="302">
        <f t="shared" si="38"/>
        <v>1.8250448192702606E-6</v>
      </c>
      <c r="AM135" s="302">
        <f t="shared" si="38"/>
        <v>0</v>
      </c>
    </row>
    <row r="136" spans="4:39" x14ac:dyDescent="0.3">
      <c r="D136" s="89" t="s">
        <v>286</v>
      </c>
      <c r="F136" s="287">
        <f t="shared" si="39"/>
        <v>0</v>
      </c>
      <c r="G136" s="287">
        <f t="shared" si="39"/>
        <v>0</v>
      </c>
      <c r="H136" s="287">
        <f t="shared" si="39"/>
        <v>0</v>
      </c>
      <c r="I136" s="287">
        <f t="shared" si="39"/>
        <v>0</v>
      </c>
      <c r="J136" s="287">
        <f t="shared" si="39"/>
        <v>0</v>
      </c>
      <c r="K136" s="287">
        <f t="shared" si="39"/>
        <v>0</v>
      </c>
      <c r="L136" s="287">
        <f t="shared" si="39"/>
        <v>0</v>
      </c>
      <c r="M136" s="287">
        <f t="shared" si="39"/>
        <v>0</v>
      </c>
      <c r="N136" s="287">
        <f t="shared" si="39"/>
        <v>0</v>
      </c>
      <c r="O136" s="287">
        <f t="shared" si="39"/>
        <v>0</v>
      </c>
      <c r="P136" s="287"/>
      <c r="Q136" s="287">
        <f t="shared" si="40"/>
        <v>0</v>
      </c>
      <c r="R136" s="287">
        <f t="shared" si="40"/>
        <v>0</v>
      </c>
      <c r="S136" s="287">
        <f t="shared" si="40"/>
        <v>0</v>
      </c>
      <c r="T136" s="287">
        <f t="shared" si="40"/>
        <v>0</v>
      </c>
      <c r="U136" s="287">
        <f t="shared" si="40"/>
        <v>0</v>
      </c>
      <c r="V136" s="287">
        <f t="shared" si="40"/>
        <v>0</v>
      </c>
      <c r="W136" s="287">
        <f t="shared" si="40"/>
        <v>0</v>
      </c>
      <c r="X136" s="287">
        <f t="shared" si="40"/>
        <v>0</v>
      </c>
      <c r="Y136" s="287">
        <f t="shared" si="40"/>
        <v>0</v>
      </c>
      <c r="Z136" s="287">
        <f t="shared" si="40"/>
        <v>0</v>
      </c>
      <c r="AA136" s="287"/>
      <c r="AB136" s="290"/>
      <c r="AC136" s="302">
        <f t="shared" si="38"/>
        <v>0</v>
      </c>
      <c r="AD136" s="302">
        <f t="shared" si="38"/>
        <v>0</v>
      </c>
      <c r="AE136" s="302">
        <f t="shared" si="38"/>
        <v>0</v>
      </c>
      <c r="AF136" s="302">
        <f t="shared" si="38"/>
        <v>0</v>
      </c>
      <c r="AG136" s="302">
        <f t="shared" si="38"/>
        <v>0</v>
      </c>
      <c r="AH136" s="302">
        <f t="shared" si="38"/>
        <v>0</v>
      </c>
      <c r="AI136" s="302">
        <f t="shared" si="38"/>
        <v>0</v>
      </c>
      <c r="AJ136" s="302">
        <f t="shared" si="38"/>
        <v>0</v>
      </c>
      <c r="AK136" s="302">
        <f t="shared" si="38"/>
        <v>0</v>
      </c>
      <c r="AL136" s="302">
        <f t="shared" si="38"/>
        <v>0</v>
      </c>
      <c r="AM136" s="302">
        <f t="shared" si="38"/>
        <v>0</v>
      </c>
    </row>
    <row r="137" spans="4:39" x14ac:dyDescent="0.3">
      <c r="D137" s="89" t="s">
        <v>70</v>
      </c>
      <c r="F137" s="287">
        <f t="shared" si="39"/>
        <v>-2.7560288435779512E-4</v>
      </c>
      <c r="G137" s="287">
        <f t="shared" si="39"/>
        <v>-1.5145651559578255E-4</v>
      </c>
      <c r="H137" s="287">
        <f t="shared" si="39"/>
        <v>-2.0344217773526907E-5</v>
      </c>
      <c r="I137" s="287">
        <f t="shared" si="39"/>
        <v>-2.9021339287282899E-7</v>
      </c>
      <c r="J137" s="287">
        <f t="shared" si="39"/>
        <v>-9.407917514181463E-5</v>
      </c>
      <c r="K137" s="287">
        <f t="shared" si="39"/>
        <v>-1.2231258779138443E-6</v>
      </c>
      <c r="L137" s="287">
        <f t="shared" si="39"/>
        <v>-1.119661658322002E-5</v>
      </c>
      <c r="M137" s="287">
        <f t="shared" si="39"/>
        <v>2.9870034268242307E-6</v>
      </c>
      <c r="N137" s="287">
        <f t="shared" si="39"/>
        <v>0</v>
      </c>
      <c r="O137" s="287">
        <f t="shared" si="39"/>
        <v>0</v>
      </c>
      <c r="P137" s="287"/>
      <c r="Q137" s="287">
        <f t="shared" si="40"/>
        <v>2.0099998801015317E-4</v>
      </c>
      <c r="R137" s="287">
        <f t="shared" si="40"/>
        <v>1.7573808872839436E-4</v>
      </c>
      <c r="S137" s="287">
        <f t="shared" si="40"/>
        <v>1.2771590263582766E-5</v>
      </c>
      <c r="T137" s="287">
        <f t="shared" si="40"/>
        <v>1.4405491128854919E-6</v>
      </c>
      <c r="U137" s="287">
        <f t="shared" si="40"/>
        <v>4.7132500640145736E-6</v>
      </c>
      <c r="V137" s="287">
        <f t="shared" si="40"/>
        <v>5.4055615886228203E-11</v>
      </c>
      <c r="W137" s="287">
        <f t="shared" si="40"/>
        <v>6.5279059935363648E-9</v>
      </c>
      <c r="X137" s="287">
        <f t="shared" si="40"/>
        <v>6.3299416979134548E-6</v>
      </c>
      <c r="Y137" s="287">
        <f t="shared" si="40"/>
        <v>0</v>
      </c>
      <c r="Z137" s="287">
        <f t="shared" si="40"/>
        <v>0</v>
      </c>
      <c r="AA137" s="287"/>
      <c r="AB137" s="290"/>
      <c r="AC137" s="302">
        <f t="shared" si="38"/>
        <v>4.7660287236794829E-4</v>
      </c>
      <c r="AD137" s="302">
        <f t="shared" si="38"/>
        <v>3.2719460432417691E-4</v>
      </c>
      <c r="AE137" s="302">
        <f t="shared" si="38"/>
        <v>3.3115808037109673E-5</v>
      </c>
      <c r="AF137" s="302">
        <f t="shared" si="38"/>
        <v>1.7307625057583209E-6</v>
      </c>
      <c r="AG137" s="302">
        <f t="shared" si="38"/>
        <v>9.8792425205829204E-5</v>
      </c>
      <c r="AH137" s="302">
        <f t="shared" si="38"/>
        <v>1.2231799335297305E-6</v>
      </c>
      <c r="AI137" s="302">
        <f t="shared" si="38"/>
        <v>1.1203144489213557E-5</v>
      </c>
      <c r="AJ137" s="302">
        <f t="shared" si="38"/>
        <v>3.3429382710892241E-6</v>
      </c>
      <c r="AK137" s="302">
        <f t="shared" si="38"/>
        <v>0</v>
      </c>
      <c r="AL137" s="302">
        <f t="shared" si="38"/>
        <v>0</v>
      </c>
      <c r="AM137" s="302">
        <f t="shared" si="38"/>
        <v>0</v>
      </c>
    </row>
    <row r="138" spans="4:39" x14ac:dyDescent="0.3">
      <c r="D138" s="89" t="s">
        <v>71</v>
      </c>
      <c r="F138" s="287">
        <f t="shared" si="39"/>
        <v>-3.3112715755123645E-4</v>
      </c>
      <c r="G138" s="287">
        <f t="shared" si="39"/>
        <v>-2.0306580699980259E-4</v>
      </c>
      <c r="H138" s="287">
        <f t="shared" si="39"/>
        <v>-2.1858869331481401E-5</v>
      </c>
      <c r="I138" s="287">
        <f t="shared" si="39"/>
        <v>-6.205417548699188E-7</v>
      </c>
      <c r="J138" s="287">
        <f t="shared" si="39"/>
        <v>-9.4745535534457304E-5</v>
      </c>
      <c r="K138" s="287">
        <f t="shared" si="39"/>
        <v>-1.2600470711277012E-6</v>
      </c>
      <c r="L138" s="287">
        <f t="shared" si="39"/>
        <v>-1.1581081707845442E-5</v>
      </c>
      <c r="M138" s="287">
        <f t="shared" si="39"/>
        <v>2.0047355064889416E-6</v>
      </c>
      <c r="N138" s="287">
        <f t="shared" si="39"/>
        <v>0</v>
      </c>
      <c r="O138" s="287">
        <f t="shared" si="39"/>
        <v>0</v>
      </c>
      <c r="P138" s="287"/>
      <c r="Q138" s="287">
        <f t="shared" si="40"/>
        <v>1.5714224718976766E-4</v>
      </c>
      <c r="R138" s="287">
        <f t="shared" si="40"/>
        <v>1.2687199341598898E-4</v>
      </c>
      <c r="S138" s="287">
        <f t="shared" si="40"/>
        <v>1.2884824172942899E-5</v>
      </c>
      <c r="T138" s="287">
        <f t="shared" si="40"/>
        <v>1.0959837482005241E-6</v>
      </c>
      <c r="U138" s="287">
        <f t="shared" si="40"/>
        <v>1.0817736438184511E-5</v>
      </c>
      <c r="V138" s="287">
        <f t="shared" si="40"/>
        <v>3.8290632886628373E-8</v>
      </c>
      <c r="W138" s="287">
        <f t="shared" si="40"/>
        <v>2.9460619543897337E-7</v>
      </c>
      <c r="X138" s="287">
        <f t="shared" si="40"/>
        <v>5.1388456085987855E-6</v>
      </c>
      <c r="Y138" s="287">
        <f t="shared" si="40"/>
        <v>0</v>
      </c>
      <c r="Z138" s="287">
        <f t="shared" si="40"/>
        <v>0</v>
      </c>
      <c r="AA138" s="287"/>
      <c r="AB138" s="290"/>
      <c r="AC138" s="302">
        <f t="shared" si="38"/>
        <v>4.8826940474100411E-4</v>
      </c>
      <c r="AD138" s="302">
        <f t="shared" si="38"/>
        <v>3.2993780041579157E-4</v>
      </c>
      <c r="AE138" s="302">
        <f t="shared" si="38"/>
        <v>3.47436935044243E-5</v>
      </c>
      <c r="AF138" s="302">
        <f t="shared" si="38"/>
        <v>1.7165255030704429E-6</v>
      </c>
      <c r="AG138" s="302">
        <f t="shared" si="38"/>
        <v>1.0556327197264181E-4</v>
      </c>
      <c r="AH138" s="302">
        <f t="shared" si="38"/>
        <v>1.2983377040143296E-6</v>
      </c>
      <c r="AI138" s="302">
        <f t="shared" si="38"/>
        <v>1.1875687903284415E-5</v>
      </c>
      <c r="AJ138" s="302">
        <f t="shared" si="38"/>
        <v>3.1341101021098439E-6</v>
      </c>
      <c r="AK138" s="302">
        <f t="shared" si="38"/>
        <v>0</v>
      </c>
      <c r="AL138" s="302">
        <f t="shared" si="38"/>
        <v>0</v>
      </c>
      <c r="AM138" s="302">
        <f t="shared" si="38"/>
        <v>0</v>
      </c>
    </row>
    <row r="139" spans="4:39" x14ac:dyDescent="0.3">
      <c r="D139" s="89" t="s">
        <v>72</v>
      </c>
      <c r="F139" s="287">
        <f t="shared" si="39"/>
        <v>-3.1736090022604913E-7</v>
      </c>
      <c r="G139" s="287">
        <f t="shared" si="39"/>
        <v>-1.6368379931464005E-6</v>
      </c>
      <c r="H139" s="287">
        <f t="shared" si="39"/>
        <v>-1.73027336458631E-7</v>
      </c>
      <c r="I139" s="287">
        <f t="shared" si="39"/>
        <v>-7.9084613857638431E-9</v>
      </c>
      <c r="J139" s="287">
        <f t="shared" si="39"/>
        <v>-5.6518565472174487E-7</v>
      </c>
      <c r="K139" s="287">
        <f t="shared" si="39"/>
        <v>-7.0833116594393175E-9</v>
      </c>
      <c r="L139" s="287">
        <f t="shared" si="39"/>
        <v>2.082750086174201E-6</v>
      </c>
      <c r="M139" s="287">
        <f t="shared" si="39"/>
        <v>-1.0068254452377801E-8</v>
      </c>
      <c r="N139" s="287">
        <f t="shared" si="39"/>
        <v>0</v>
      </c>
      <c r="O139" s="287">
        <f t="shared" si="39"/>
        <v>0</v>
      </c>
      <c r="P139" s="287"/>
      <c r="Q139" s="287">
        <f t="shared" si="40"/>
        <v>2.8767229878212675E-6</v>
      </c>
      <c r="R139" s="287">
        <f t="shared" si="40"/>
        <v>0</v>
      </c>
      <c r="S139" s="287">
        <f t="shared" si="40"/>
        <v>0</v>
      </c>
      <c r="T139" s="287">
        <f t="shared" si="40"/>
        <v>0</v>
      </c>
      <c r="U139" s="287">
        <f t="shared" si="40"/>
        <v>0</v>
      </c>
      <c r="V139" s="287">
        <f t="shared" si="40"/>
        <v>0</v>
      </c>
      <c r="W139" s="287">
        <f t="shared" si="40"/>
        <v>2.8767231015081052E-6</v>
      </c>
      <c r="X139" s="287">
        <f t="shared" si="40"/>
        <v>0</v>
      </c>
      <c r="Y139" s="287">
        <f t="shared" si="40"/>
        <v>0</v>
      </c>
      <c r="Z139" s="287">
        <f t="shared" si="40"/>
        <v>0</v>
      </c>
      <c r="AA139" s="287"/>
      <c r="AB139" s="290"/>
      <c r="AC139" s="302">
        <f t="shared" si="38"/>
        <v>3.1940838880473166E-6</v>
      </c>
      <c r="AD139" s="302">
        <f t="shared" si="38"/>
        <v>1.6368379931464005E-6</v>
      </c>
      <c r="AE139" s="302">
        <f t="shared" si="38"/>
        <v>1.73027336458631E-7</v>
      </c>
      <c r="AF139" s="302">
        <f t="shared" si="38"/>
        <v>7.9084613857638431E-9</v>
      </c>
      <c r="AG139" s="302">
        <f t="shared" si="38"/>
        <v>5.6518565472174487E-7</v>
      </c>
      <c r="AH139" s="302">
        <f t="shared" si="38"/>
        <v>7.0833116594393175E-9</v>
      </c>
      <c r="AI139" s="302">
        <f t="shared" si="38"/>
        <v>7.9397301533390419E-7</v>
      </c>
      <c r="AJ139" s="302">
        <f t="shared" si="38"/>
        <v>1.0068254452377801E-8</v>
      </c>
      <c r="AK139" s="302">
        <f t="shared" si="38"/>
        <v>0</v>
      </c>
      <c r="AL139" s="302">
        <f t="shared" si="38"/>
        <v>0</v>
      </c>
      <c r="AM139" s="302">
        <f t="shared" si="38"/>
        <v>0</v>
      </c>
    </row>
    <row r="140" spans="4:39" x14ac:dyDescent="0.3">
      <c r="D140" s="89" t="s">
        <v>73</v>
      </c>
      <c r="F140" s="287">
        <f t="shared" si="39"/>
        <v>1.7885887064039707E-4</v>
      </c>
      <c r="G140" s="287">
        <f t="shared" si="39"/>
        <v>0</v>
      </c>
      <c r="H140" s="287">
        <f t="shared" si="39"/>
        <v>0</v>
      </c>
      <c r="I140" s="287">
        <f t="shared" si="39"/>
        <v>0</v>
      </c>
      <c r="J140" s="287">
        <f t="shared" si="39"/>
        <v>0</v>
      </c>
      <c r="K140" s="287">
        <f t="shared" si="39"/>
        <v>0</v>
      </c>
      <c r="L140" s="287">
        <f t="shared" si="39"/>
        <v>0</v>
      </c>
      <c r="M140" s="287">
        <f t="shared" si="39"/>
        <v>0</v>
      </c>
      <c r="N140" s="287">
        <f t="shared" si="39"/>
        <v>1.7885887064039707E-4</v>
      </c>
      <c r="O140" s="287">
        <f t="shared" si="39"/>
        <v>0</v>
      </c>
      <c r="P140" s="287"/>
      <c r="Q140" s="287">
        <f t="shared" si="40"/>
        <v>2.4039245909079909E-4</v>
      </c>
      <c r="R140" s="287">
        <f t="shared" si="40"/>
        <v>0</v>
      </c>
      <c r="S140" s="287">
        <f t="shared" si="40"/>
        <v>0</v>
      </c>
      <c r="T140" s="287">
        <f t="shared" si="40"/>
        <v>0</v>
      </c>
      <c r="U140" s="287">
        <f t="shared" si="40"/>
        <v>0</v>
      </c>
      <c r="V140" s="287">
        <f t="shared" si="40"/>
        <v>0</v>
      </c>
      <c r="W140" s="287">
        <f t="shared" si="40"/>
        <v>0</v>
      </c>
      <c r="X140" s="287">
        <f t="shared" si="40"/>
        <v>0</v>
      </c>
      <c r="Y140" s="287">
        <f t="shared" si="40"/>
        <v>2.4039245909079909E-4</v>
      </c>
      <c r="Z140" s="287">
        <f t="shared" si="40"/>
        <v>0</v>
      </c>
      <c r="AA140" s="287"/>
      <c r="AB140" s="290"/>
      <c r="AC140" s="302">
        <f t="shared" si="38"/>
        <v>6.1533588450402021E-5</v>
      </c>
      <c r="AD140" s="302">
        <f t="shared" si="38"/>
        <v>0</v>
      </c>
      <c r="AE140" s="302">
        <f t="shared" si="38"/>
        <v>0</v>
      </c>
      <c r="AF140" s="302">
        <f t="shared" si="38"/>
        <v>0</v>
      </c>
      <c r="AG140" s="302">
        <f t="shared" si="38"/>
        <v>0</v>
      </c>
      <c r="AH140" s="302">
        <f t="shared" si="38"/>
        <v>0</v>
      </c>
      <c r="AI140" s="302">
        <f t="shared" si="38"/>
        <v>0</v>
      </c>
      <c r="AJ140" s="302">
        <f t="shared" si="38"/>
        <v>0</v>
      </c>
      <c r="AK140" s="302">
        <f t="shared" si="38"/>
        <v>6.1533588450402021E-5</v>
      </c>
      <c r="AL140" s="302">
        <f t="shared" si="38"/>
        <v>0</v>
      </c>
      <c r="AM140" s="302">
        <f t="shared" si="38"/>
        <v>0</v>
      </c>
    </row>
    <row r="141" spans="4:39" x14ac:dyDescent="0.3">
      <c r="D141" s="89" t="s">
        <v>75</v>
      </c>
      <c r="F141" s="287">
        <f t="shared" si="39"/>
        <v>-8.8667686213739216E-4</v>
      </c>
      <c r="G141" s="287">
        <f t="shared" si="39"/>
        <v>-5.6168006267398596E-4</v>
      </c>
      <c r="H141" s="287">
        <f t="shared" si="39"/>
        <v>-6.3091443735174835E-5</v>
      </c>
      <c r="I141" s="287">
        <f t="shared" si="39"/>
        <v>-2.3340996904153144E-6</v>
      </c>
      <c r="J141" s="287">
        <f t="shared" si="39"/>
        <v>-2.2984663519309834E-4</v>
      </c>
      <c r="K141" s="287">
        <f t="shared" si="39"/>
        <v>-2.918404419460785E-6</v>
      </c>
      <c r="L141" s="287">
        <f t="shared" si="39"/>
        <v>-2.6720876803665305E-5</v>
      </c>
      <c r="M141" s="287">
        <f t="shared" si="39"/>
        <v>-8.5379724623635411E-8</v>
      </c>
      <c r="N141" s="287">
        <f t="shared" si="39"/>
        <v>0</v>
      </c>
      <c r="O141" s="287">
        <f t="shared" si="39"/>
        <v>0</v>
      </c>
      <c r="P141" s="287"/>
      <c r="Q141" s="287">
        <f t="shared" si="40"/>
        <v>4.9385140300728381E-4</v>
      </c>
      <c r="R141" s="287">
        <f t="shared" si="40"/>
        <v>-73.742194401449524</v>
      </c>
      <c r="S141" s="287">
        <f t="shared" si="40"/>
        <v>1.1219160271339206</v>
      </c>
      <c r="T141" s="287">
        <f t="shared" si="40"/>
        <v>1.3807873012442542</v>
      </c>
      <c r="U141" s="287">
        <f t="shared" si="40"/>
        <v>45.868041314401125</v>
      </c>
      <c r="V141" s="287">
        <f t="shared" si="40"/>
        <v>1.682832622573935</v>
      </c>
      <c r="W141" s="287">
        <f t="shared" si="40"/>
        <v>17.734470033294457</v>
      </c>
      <c r="X141" s="287">
        <f t="shared" si="40"/>
        <v>5.9546409541735557</v>
      </c>
      <c r="Y141" s="287">
        <f t="shared" si="40"/>
        <v>0</v>
      </c>
      <c r="Z141" s="287">
        <f t="shared" si="40"/>
        <v>0</v>
      </c>
      <c r="AA141" s="287"/>
      <c r="AB141" s="290"/>
      <c r="AC141" s="302">
        <f t="shared" si="38"/>
        <v>1.380528265144676E-3</v>
      </c>
      <c r="AD141" s="302">
        <f t="shared" si="38"/>
        <v>-73.74163272138685</v>
      </c>
      <c r="AE141" s="302">
        <f t="shared" si="38"/>
        <v>1.1219791185776558</v>
      </c>
      <c r="AF141" s="302">
        <f t="shared" si="38"/>
        <v>1.3807896353439446</v>
      </c>
      <c r="AG141" s="302">
        <f t="shared" si="38"/>
        <v>45.868271161036319</v>
      </c>
      <c r="AH141" s="302">
        <f t="shared" si="38"/>
        <v>1.6828355409783544</v>
      </c>
      <c r="AI141" s="302">
        <f t="shared" si="38"/>
        <v>17.734496754171261</v>
      </c>
      <c r="AJ141" s="302">
        <f t="shared" si="38"/>
        <v>5.9546410395532803</v>
      </c>
      <c r="AK141" s="302">
        <f t="shared" si="38"/>
        <v>0</v>
      </c>
      <c r="AL141" s="302">
        <f t="shared" si="38"/>
        <v>0</v>
      </c>
      <c r="AM141" s="302">
        <f t="shared" si="38"/>
        <v>0</v>
      </c>
    </row>
    <row r="142" spans="4:39" ht="15" thickBot="1" x14ac:dyDescent="0.35">
      <c r="D142" s="278" t="s">
        <v>77</v>
      </c>
      <c r="F142" s="303">
        <f>SUM(F130:F141)</f>
        <v>7.0895779792408575E-2</v>
      </c>
      <c r="G142" s="303">
        <f t="shared" ref="G142:O142" si="41">SUM(G130:G141)</f>
        <v>-18170.120563345921</v>
      </c>
      <c r="H142" s="303">
        <f t="shared" si="41"/>
        <v>276.4369668443955</v>
      </c>
      <c r="I142" s="303">
        <f t="shared" si="41"/>
        <v>340.22567793064815</v>
      </c>
      <c r="J142" s="303">
        <f t="shared" si="41"/>
        <v>11301.882801349382</v>
      </c>
      <c r="K142" s="303">
        <f t="shared" si="41"/>
        <v>414.64995867714379</v>
      </c>
      <c r="L142" s="303">
        <f t="shared" si="41"/>
        <v>4369.7733372732118</v>
      </c>
      <c r="M142" s="303">
        <f t="shared" si="41"/>
        <v>1467.2222703346035</v>
      </c>
      <c r="N142" s="303">
        <f t="shared" si="41"/>
        <v>1.7885887064039707E-4</v>
      </c>
      <c r="O142" s="303">
        <f t="shared" si="41"/>
        <v>5.3048406698508188E-6</v>
      </c>
      <c r="P142" s="305"/>
      <c r="Q142" s="303">
        <f>SUM(Q130:Q141)</f>
        <v>9.5286342779559163E-2</v>
      </c>
      <c r="R142" s="303">
        <f t="shared" ref="R142:Z142" si="42">SUM(R130:R141)</f>
        <v>-23759.374058420239</v>
      </c>
      <c r="S142" s="303">
        <f t="shared" si="42"/>
        <v>361.47103884464195</v>
      </c>
      <c r="T142" s="303">
        <f t="shared" si="42"/>
        <v>444.88147148719111</v>
      </c>
      <c r="U142" s="303">
        <f t="shared" si="42"/>
        <v>14778.421249463829</v>
      </c>
      <c r="V142" s="303">
        <f t="shared" si="42"/>
        <v>542.19917738375466</v>
      </c>
      <c r="W142" s="303">
        <f t="shared" si="42"/>
        <v>5713.9461122626944</v>
      </c>
      <c r="X142" s="303">
        <f t="shared" si="42"/>
        <v>1918.5500477992953</v>
      </c>
      <c r="Y142" s="303">
        <f t="shared" si="42"/>
        <v>2.4039245909079909E-4</v>
      </c>
      <c r="Z142" s="303">
        <f t="shared" si="42"/>
        <v>7.1298854891210794E-6</v>
      </c>
      <c r="AA142" s="305"/>
      <c r="AB142" s="290"/>
      <c r="AC142" s="304">
        <f>SUM(AC130:AC141)</f>
        <v>2.4390562987150588E-2</v>
      </c>
      <c r="AD142" s="304">
        <f t="shared" ref="AD142:AM142" si="43">SUM(AD130:AD141)</f>
        <v>-5589.2534950743193</v>
      </c>
      <c r="AE142" s="304">
        <f t="shared" si="43"/>
        <v>85.034072000246454</v>
      </c>
      <c r="AF142" s="304">
        <f t="shared" si="43"/>
        <v>104.65579355654296</v>
      </c>
      <c r="AG142" s="304">
        <f t="shared" si="43"/>
        <v>3476.5384481144456</v>
      </c>
      <c r="AH142" s="304">
        <f t="shared" si="43"/>
        <v>127.54921870661089</v>
      </c>
      <c r="AI142" s="304">
        <f t="shared" si="43"/>
        <v>1344.1727749894826</v>
      </c>
      <c r="AJ142" s="304">
        <f t="shared" si="43"/>
        <v>451.32777746469156</v>
      </c>
      <c r="AK142" s="304">
        <f t="shared" si="43"/>
        <v>6.1533588450402021E-5</v>
      </c>
      <c r="AL142" s="304">
        <f t="shared" si="43"/>
        <v>1.8250448192702606E-6</v>
      </c>
      <c r="AM142" s="304">
        <f t="shared" si="43"/>
        <v>0</v>
      </c>
    </row>
    <row r="143" spans="4:39" ht="15" thickTop="1" x14ac:dyDescent="0.3">
      <c r="F143" s="305"/>
      <c r="G143" s="305"/>
      <c r="H143" s="305"/>
      <c r="I143" s="305"/>
      <c r="J143" s="305"/>
      <c r="K143" s="305"/>
      <c r="L143" s="305"/>
      <c r="M143" s="305"/>
      <c r="N143" s="305"/>
      <c r="O143" s="305"/>
      <c r="Q143" s="305">
        <f t="shared" ref="Q143:Y143" si="44">SUM(Q130:Q141)-Q142</f>
        <v>0</v>
      </c>
      <c r="R143" s="305">
        <f t="shared" si="44"/>
        <v>0</v>
      </c>
      <c r="S143" s="305">
        <f t="shared" si="44"/>
        <v>0</v>
      </c>
      <c r="T143" s="305">
        <f t="shared" si="44"/>
        <v>0</v>
      </c>
      <c r="U143" s="305">
        <f t="shared" si="44"/>
        <v>0</v>
      </c>
      <c r="V143" s="305">
        <f t="shared" si="44"/>
        <v>0</v>
      </c>
      <c r="W143" s="305">
        <f t="shared" si="44"/>
        <v>0</v>
      </c>
      <c r="X143" s="305">
        <f t="shared" si="44"/>
        <v>0</v>
      </c>
      <c r="Y143" s="305">
        <f t="shared" si="44"/>
        <v>0</v>
      </c>
      <c r="Z143" s="305"/>
      <c r="AB143" s="290"/>
    </row>
    <row r="144" spans="4:39" ht="18" x14ac:dyDescent="0.3">
      <c r="D144" s="300"/>
      <c r="E144" s="300">
        <v>2026</v>
      </c>
      <c r="F144" s="292"/>
      <c r="G144" s="292"/>
      <c r="H144" s="292"/>
      <c r="I144" s="292"/>
      <c r="J144" s="292"/>
      <c r="K144" s="292"/>
      <c r="M144" s="292"/>
      <c r="N144" s="292"/>
      <c r="O144" s="292"/>
      <c r="Q144" s="292"/>
      <c r="R144" s="292"/>
      <c r="S144" s="292"/>
      <c r="T144" s="292"/>
      <c r="U144" s="292"/>
      <c r="V144" s="292"/>
      <c r="X144" s="292"/>
      <c r="Y144" s="292"/>
      <c r="AB144" s="290"/>
    </row>
    <row r="145" spans="4:39" x14ac:dyDescent="0.3">
      <c r="D145" s="89" t="s">
        <v>285</v>
      </c>
      <c r="F145" s="287">
        <f>+F45-F95</f>
        <v>8.5579765494912863E-2</v>
      </c>
      <c r="G145" s="287">
        <f t="shared" ref="G145:O145" si="45">+G45-G95</f>
        <v>-22449.884741281392</v>
      </c>
      <c r="H145" s="287">
        <f t="shared" si="45"/>
        <v>313.8069305314275</v>
      </c>
      <c r="I145" s="287">
        <f t="shared" si="45"/>
        <v>431.47841940632952</v>
      </c>
      <c r="J145" s="287">
        <f t="shared" si="45"/>
        <v>13911.924357903597</v>
      </c>
      <c r="K145" s="287">
        <f t="shared" si="45"/>
        <v>523.00404525495014</v>
      </c>
      <c r="L145" s="287">
        <f t="shared" si="45"/>
        <v>5439.2429844722501</v>
      </c>
      <c r="M145" s="287">
        <f t="shared" si="45"/>
        <v>1830.5133188548227</v>
      </c>
      <c r="N145" s="287">
        <f t="shared" si="45"/>
        <v>0</v>
      </c>
      <c r="O145" s="287">
        <f t="shared" si="45"/>
        <v>0</v>
      </c>
      <c r="P145" s="287"/>
      <c r="Q145" s="287">
        <f>+Q45-Q95</f>
        <v>9.8849603440612555E-2</v>
      </c>
      <c r="R145" s="287">
        <f t="shared" ref="R145:Z145" si="46">+R45-R95</f>
        <v>-23265.358366215485</v>
      </c>
      <c r="S145" s="287">
        <f t="shared" si="46"/>
        <v>325.20635458042671</v>
      </c>
      <c r="T145" s="287">
        <f t="shared" si="46"/>
        <v>447.15168005705436</v>
      </c>
      <c r="U145" s="287">
        <f t="shared" si="46"/>
        <v>14417.270464619214</v>
      </c>
      <c r="V145" s="287">
        <f t="shared" si="46"/>
        <v>542.0019215276161</v>
      </c>
      <c r="W145" s="287">
        <f t="shared" si="46"/>
        <v>5636.8210394033085</v>
      </c>
      <c r="X145" s="287">
        <f t="shared" si="46"/>
        <v>1897.005755632046</v>
      </c>
      <c r="Y145" s="287">
        <f t="shared" si="46"/>
        <v>0</v>
      </c>
      <c r="Z145" s="287">
        <f t="shared" si="46"/>
        <v>0</v>
      </c>
      <c r="AA145" s="287"/>
      <c r="AB145" s="290"/>
      <c r="AC145" s="302">
        <f t="shared" ref="AC145:AM156" si="47">Q145-F145</f>
        <v>1.3269837945699692E-2</v>
      </c>
      <c r="AD145" s="302">
        <f t="shared" si="47"/>
        <v>-815.4736249340931</v>
      </c>
      <c r="AE145" s="302">
        <f t="shared" si="47"/>
        <v>11.399424048999208</v>
      </c>
      <c r="AF145" s="302">
        <f t="shared" si="47"/>
        <v>15.673260650724842</v>
      </c>
      <c r="AG145" s="302">
        <f t="shared" si="47"/>
        <v>505.34610671561677</v>
      </c>
      <c r="AH145" s="302">
        <f t="shared" si="47"/>
        <v>18.997876272665962</v>
      </c>
      <c r="AI145" s="302">
        <f t="shared" si="47"/>
        <v>197.57805493105843</v>
      </c>
      <c r="AJ145" s="302">
        <f t="shared" si="47"/>
        <v>66.492436777223247</v>
      </c>
      <c r="AK145" s="302">
        <f t="shared" si="47"/>
        <v>0</v>
      </c>
      <c r="AL145" s="302">
        <f t="shared" si="47"/>
        <v>0</v>
      </c>
      <c r="AM145" s="302">
        <f t="shared" si="47"/>
        <v>0</v>
      </c>
    </row>
    <row r="146" spans="4:39" x14ac:dyDescent="0.3">
      <c r="D146" s="89" t="s">
        <v>63</v>
      </c>
      <c r="F146" s="287">
        <f t="shared" ref="F146:O156" si="48">+F46-F96</f>
        <v>-1.2448695488274097E-3</v>
      </c>
      <c r="G146" s="287">
        <f t="shared" si="48"/>
        <v>4615.7384002882754</v>
      </c>
      <c r="H146" s="287">
        <f t="shared" si="48"/>
        <v>-64.518093739090546</v>
      </c>
      <c r="I146" s="287">
        <f t="shared" si="48"/>
        <v>-88.712515452296543</v>
      </c>
      <c r="J146" s="287">
        <f t="shared" si="48"/>
        <v>-2860.3071786914807</v>
      </c>
      <c r="K146" s="287">
        <f t="shared" si="48"/>
        <v>-107.53031861272984</v>
      </c>
      <c r="L146" s="287">
        <f t="shared" si="48"/>
        <v>-1118.3154754446459</v>
      </c>
      <c r="M146" s="287">
        <f t="shared" si="48"/>
        <v>-376.35606321761816</v>
      </c>
      <c r="N146" s="287">
        <f t="shared" si="48"/>
        <v>0</v>
      </c>
      <c r="O146" s="287">
        <f t="shared" si="48"/>
        <v>0</v>
      </c>
      <c r="P146" s="287"/>
      <c r="Q146" s="287">
        <f t="shared" ref="Q146:Z156" si="49">+Q46-Q96</f>
        <v>1.5521090244874358E-4</v>
      </c>
      <c r="R146" s="287">
        <f t="shared" si="49"/>
        <v>8.1635094829834998E-5</v>
      </c>
      <c r="S146" s="287">
        <f t="shared" si="49"/>
        <v>8.6519303295062855E-6</v>
      </c>
      <c r="T146" s="287">
        <f t="shared" si="49"/>
        <v>8.1918301475525368E-7</v>
      </c>
      <c r="U146" s="287">
        <f t="shared" si="49"/>
        <v>5.1912487833760679E-5</v>
      </c>
      <c r="V146" s="287">
        <f t="shared" si="49"/>
        <v>8.0583413364365697E-7</v>
      </c>
      <c r="W146" s="287">
        <f t="shared" si="49"/>
        <v>1.0076386388391256E-5</v>
      </c>
      <c r="X146" s="287">
        <f t="shared" si="49"/>
        <v>1.3099938769300934E-6</v>
      </c>
      <c r="Y146" s="287">
        <f t="shared" si="49"/>
        <v>0</v>
      </c>
      <c r="Z146" s="287">
        <f t="shared" si="49"/>
        <v>0</v>
      </c>
      <c r="AA146" s="287"/>
      <c r="AB146" s="290"/>
      <c r="AC146" s="302">
        <f t="shared" si="47"/>
        <v>1.4000804512761533E-3</v>
      </c>
      <c r="AD146" s="302">
        <f t="shared" si="47"/>
        <v>-4615.7383186531806</v>
      </c>
      <c r="AE146" s="302">
        <f t="shared" si="47"/>
        <v>64.518102391020875</v>
      </c>
      <c r="AF146" s="302">
        <f t="shared" si="47"/>
        <v>88.712516271479558</v>
      </c>
      <c r="AG146" s="302">
        <f t="shared" si="47"/>
        <v>2860.3072306039685</v>
      </c>
      <c r="AH146" s="302">
        <f t="shared" si="47"/>
        <v>107.53031941856398</v>
      </c>
      <c r="AI146" s="302">
        <f t="shared" si="47"/>
        <v>1118.3154855210323</v>
      </c>
      <c r="AJ146" s="302">
        <f t="shared" si="47"/>
        <v>376.35606452761203</v>
      </c>
      <c r="AK146" s="302">
        <f t="shared" si="47"/>
        <v>0</v>
      </c>
      <c r="AL146" s="302">
        <f t="shared" si="47"/>
        <v>0</v>
      </c>
      <c r="AM146" s="302">
        <f t="shared" si="47"/>
        <v>0</v>
      </c>
    </row>
    <row r="147" spans="4:39" x14ac:dyDescent="0.3">
      <c r="D147" s="89" t="s">
        <v>64</v>
      </c>
      <c r="F147" s="287">
        <f t="shared" si="48"/>
        <v>-2.6470709126442671E-3</v>
      </c>
      <c r="G147" s="287">
        <f t="shared" si="48"/>
        <v>-1.7726848018355668E-3</v>
      </c>
      <c r="H147" s="287">
        <f t="shared" si="48"/>
        <v>-1.8971323152072728E-4</v>
      </c>
      <c r="I147" s="287">
        <f t="shared" si="48"/>
        <v>-8.4223088379076216E-6</v>
      </c>
      <c r="J147" s="287">
        <f t="shared" si="48"/>
        <v>-5.9121247613802552E-4</v>
      </c>
      <c r="K147" s="287">
        <f t="shared" si="48"/>
        <v>-7.6093488132755738E-6</v>
      </c>
      <c r="L147" s="287">
        <f t="shared" si="48"/>
        <v>-6.5588730649324134E-5</v>
      </c>
      <c r="M147" s="287">
        <f t="shared" si="48"/>
        <v>-1.1840005186058988E-5</v>
      </c>
      <c r="N147" s="287">
        <f t="shared" si="48"/>
        <v>0</v>
      </c>
      <c r="O147" s="287">
        <f t="shared" si="48"/>
        <v>0</v>
      </c>
      <c r="P147" s="287"/>
      <c r="Q147" s="287">
        <f t="shared" si="49"/>
        <v>3.831454087048769E-4</v>
      </c>
      <c r="R147" s="287">
        <f t="shared" si="49"/>
        <v>2.395483897998929E-4</v>
      </c>
      <c r="S147" s="287">
        <f t="shared" si="49"/>
        <v>2.0827381376875564E-5</v>
      </c>
      <c r="T147" s="287">
        <f t="shared" si="49"/>
        <v>1.282715402339818E-6</v>
      </c>
      <c r="U147" s="287">
        <f t="shared" si="49"/>
        <v>1.0458505130372941E-4</v>
      </c>
      <c r="V147" s="287">
        <f t="shared" si="49"/>
        <v>1.1127169727842556E-6</v>
      </c>
      <c r="W147" s="287">
        <f t="shared" si="49"/>
        <v>1.5655306924600154E-5</v>
      </c>
      <c r="X147" s="287">
        <f t="shared" si="49"/>
        <v>1.339381583420618E-7</v>
      </c>
      <c r="Y147" s="287">
        <f t="shared" si="49"/>
        <v>0</v>
      </c>
      <c r="Z147" s="287">
        <f t="shared" si="49"/>
        <v>0</v>
      </c>
      <c r="AA147" s="287"/>
      <c r="AB147" s="290"/>
      <c r="AC147" s="302">
        <f t="shared" si="47"/>
        <v>3.030216321349144E-3</v>
      </c>
      <c r="AD147" s="302">
        <f t="shared" si="47"/>
        <v>2.0122331916354597E-3</v>
      </c>
      <c r="AE147" s="302">
        <f t="shared" si="47"/>
        <v>2.1054061289760284E-4</v>
      </c>
      <c r="AF147" s="302">
        <f t="shared" si="47"/>
        <v>9.7050242402474396E-6</v>
      </c>
      <c r="AG147" s="302">
        <f t="shared" si="47"/>
        <v>6.9579752744175494E-4</v>
      </c>
      <c r="AH147" s="302">
        <f t="shared" si="47"/>
        <v>8.7220657860598294E-6</v>
      </c>
      <c r="AI147" s="302">
        <f t="shared" si="47"/>
        <v>8.1244037573924288E-5</v>
      </c>
      <c r="AJ147" s="302">
        <f t="shared" si="47"/>
        <v>1.197394334440105E-5</v>
      </c>
      <c r="AK147" s="302">
        <f t="shared" si="47"/>
        <v>0</v>
      </c>
      <c r="AL147" s="302">
        <f t="shared" si="47"/>
        <v>0</v>
      </c>
      <c r="AM147" s="302">
        <f t="shared" si="47"/>
        <v>0</v>
      </c>
    </row>
    <row r="148" spans="4:39" x14ac:dyDescent="0.3">
      <c r="D148" s="89" t="s">
        <v>65</v>
      </c>
      <c r="F148" s="287">
        <f t="shared" si="48"/>
        <v>-3.3081340370699763E-3</v>
      </c>
      <c r="G148" s="287">
        <f t="shared" si="48"/>
        <v>-2.2146872943267226E-3</v>
      </c>
      <c r="H148" s="287">
        <f t="shared" si="48"/>
        <v>-2.3699236044194549E-4</v>
      </c>
      <c r="I148" s="287">
        <f t="shared" si="48"/>
        <v>-1.0827924370460096E-5</v>
      </c>
      <c r="J148" s="287">
        <f t="shared" si="48"/>
        <v>-7.3755296762101352E-4</v>
      </c>
      <c r="K148" s="287">
        <f t="shared" si="48"/>
        <v>-8.8266206148546189E-6</v>
      </c>
      <c r="L148" s="287">
        <f t="shared" si="48"/>
        <v>-8.8307588157476857E-5</v>
      </c>
      <c r="M148" s="287">
        <f t="shared" si="48"/>
        <v>-1.0939264029730111E-5</v>
      </c>
      <c r="N148" s="287">
        <f t="shared" si="48"/>
        <v>0</v>
      </c>
      <c r="O148" s="287">
        <f t="shared" si="48"/>
        <v>0</v>
      </c>
      <c r="P148" s="287"/>
      <c r="Q148" s="287">
        <f t="shared" si="49"/>
        <v>6.8007060326635838E-4</v>
      </c>
      <c r="R148" s="287">
        <f t="shared" si="49"/>
        <v>4.3419888243079185E-4</v>
      </c>
      <c r="S148" s="287">
        <f t="shared" si="49"/>
        <v>4.0243881812784821E-5</v>
      </c>
      <c r="T148" s="287">
        <f t="shared" si="49"/>
        <v>1.8417063074593898E-6</v>
      </c>
      <c r="U148" s="287">
        <f t="shared" si="49"/>
        <v>1.7837187624536455E-4</v>
      </c>
      <c r="V148" s="287">
        <f t="shared" si="49"/>
        <v>2.8846011446148623E-6</v>
      </c>
      <c r="W148" s="287">
        <f t="shared" si="49"/>
        <v>1.637565583223477E-5</v>
      </c>
      <c r="X148" s="287">
        <f t="shared" si="49"/>
        <v>6.1538139561889693E-6</v>
      </c>
      <c r="Y148" s="287">
        <f t="shared" si="49"/>
        <v>0</v>
      </c>
      <c r="Z148" s="287">
        <f t="shared" si="49"/>
        <v>0</v>
      </c>
      <c r="AA148" s="287"/>
      <c r="AB148" s="290"/>
      <c r="AC148" s="302">
        <f t="shared" si="47"/>
        <v>3.9882046403363347E-3</v>
      </c>
      <c r="AD148" s="302">
        <f t="shared" si="47"/>
        <v>2.6488861767575145E-3</v>
      </c>
      <c r="AE148" s="302">
        <f t="shared" si="47"/>
        <v>2.7723624225473031E-4</v>
      </c>
      <c r="AF148" s="302">
        <f t="shared" si="47"/>
        <v>1.2669630677919486E-5</v>
      </c>
      <c r="AG148" s="302">
        <f t="shared" si="47"/>
        <v>9.1592484386637807E-4</v>
      </c>
      <c r="AH148" s="302">
        <f t="shared" si="47"/>
        <v>1.1711221759469481E-5</v>
      </c>
      <c r="AI148" s="302">
        <f t="shared" si="47"/>
        <v>1.0468324398971163E-4</v>
      </c>
      <c r="AJ148" s="302">
        <f t="shared" si="47"/>
        <v>1.7093077985919081E-5</v>
      </c>
      <c r="AK148" s="302">
        <f t="shared" si="47"/>
        <v>0</v>
      </c>
      <c r="AL148" s="302">
        <f t="shared" si="47"/>
        <v>0</v>
      </c>
      <c r="AM148" s="302">
        <f t="shared" si="47"/>
        <v>0</v>
      </c>
    </row>
    <row r="149" spans="4:39" x14ac:dyDescent="0.3">
      <c r="D149" s="89" t="s">
        <v>66</v>
      </c>
      <c r="F149" s="287">
        <f t="shared" si="48"/>
        <v>0</v>
      </c>
      <c r="G149" s="287">
        <f t="shared" si="48"/>
        <v>0</v>
      </c>
      <c r="H149" s="287">
        <f t="shared" si="48"/>
        <v>0</v>
      </c>
      <c r="I149" s="287">
        <f t="shared" si="48"/>
        <v>0</v>
      </c>
      <c r="J149" s="287">
        <f t="shared" si="48"/>
        <v>0</v>
      </c>
      <c r="K149" s="287">
        <f t="shared" si="48"/>
        <v>0</v>
      </c>
      <c r="L149" s="287">
        <f t="shared" si="48"/>
        <v>0</v>
      </c>
      <c r="M149" s="287">
        <f t="shared" si="48"/>
        <v>0</v>
      </c>
      <c r="N149" s="287">
        <f t="shared" si="48"/>
        <v>0</v>
      </c>
      <c r="O149" s="287">
        <f t="shared" si="48"/>
        <v>0</v>
      </c>
      <c r="P149" s="287"/>
      <c r="Q149" s="287">
        <f t="shared" si="49"/>
        <v>0</v>
      </c>
      <c r="R149" s="287">
        <f t="shared" si="49"/>
        <v>0</v>
      </c>
      <c r="S149" s="287">
        <f t="shared" si="49"/>
        <v>0</v>
      </c>
      <c r="T149" s="287">
        <f t="shared" si="49"/>
        <v>0</v>
      </c>
      <c r="U149" s="287">
        <f t="shared" si="49"/>
        <v>0</v>
      </c>
      <c r="V149" s="287">
        <f t="shared" si="49"/>
        <v>0</v>
      </c>
      <c r="W149" s="287">
        <f t="shared" si="49"/>
        <v>0</v>
      </c>
      <c r="X149" s="287">
        <f t="shared" si="49"/>
        <v>0</v>
      </c>
      <c r="Y149" s="287">
        <f t="shared" si="49"/>
        <v>0</v>
      </c>
      <c r="Z149" s="287">
        <f t="shared" si="49"/>
        <v>0</v>
      </c>
      <c r="AA149" s="287"/>
      <c r="AB149" s="290"/>
      <c r="AC149" s="302">
        <f t="shared" si="47"/>
        <v>0</v>
      </c>
      <c r="AD149" s="302">
        <f t="shared" si="47"/>
        <v>0</v>
      </c>
      <c r="AE149" s="302">
        <f t="shared" si="47"/>
        <v>0</v>
      </c>
      <c r="AF149" s="302">
        <f t="shared" si="47"/>
        <v>0</v>
      </c>
      <c r="AG149" s="302">
        <f t="shared" si="47"/>
        <v>0</v>
      </c>
      <c r="AH149" s="302">
        <f t="shared" si="47"/>
        <v>0</v>
      </c>
      <c r="AI149" s="302">
        <f t="shared" si="47"/>
        <v>0</v>
      </c>
      <c r="AJ149" s="302">
        <f t="shared" si="47"/>
        <v>0</v>
      </c>
      <c r="AK149" s="302">
        <f t="shared" si="47"/>
        <v>0</v>
      </c>
      <c r="AL149" s="302">
        <f t="shared" si="47"/>
        <v>0</v>
      </c>
      <c r="AM149" s="302">
        <f t="shared" si="47"/>
        <v>0</v>
      </c>
    </row>
    <row r="150" spans="4:39" x14ac:dyDescent="0.3">
      <c r="D150" s="89" t="s">
        <v>68</v>
      </c>
      <c r="F150" s="287">
        <f t="shared" si="48"/>
        <v>-1.2401233543641865E-3</v>
      </c>
      <c r="G150" s="287">
        <f t="shared" si="48"/>
        <v>-7.8913543256931007E-4</v>
      </c>
      <c r="H150" s="287">
        <f t="shared" si="48"/>
        <v>-8.8331617007497698E-5</v>
      </c>
      <c r="I150" s="287">
        <f t="shared" si="48"/>
        <v>-4.6160737383615924E-6</v>
      </c>
      <c r="J150" s="287">
        <f t="shared" si="48"/>
        <v>-3.1149409915087745E-4</v>
      </c>
      <c r="K150" s="287">
        <f t="shared" si="48"/>
        <v>-4.568051309661314E-6</v>
      </c>
      <c r="L150" s="287">
        <f t="shared" si="48"/>
        <v>-4.0270539102493785E-5</v>
      </c>
      <c r="M150" s="287">
        <f t="shared" si="48"/>
        <v>-4.9230820877710357E-6</v>
      </c>
      <c r="N150" s="287">
        <f t="shared" si="48"/>
        <v>0</v>
      </c>
      <c r="O150" s="287">
        <f t="shared" si="48"/>
        <v>3.2155739972949959E-6</v>
      </c>
      <c r="P150" s="287"/>
      <c r="Q150" s="287">
        <f t="shared" si="49"/>
        <v>4.653247888199985E-4</v>
      </c>
      <c r="R150" s="287">
        <f t="shared" si="49"/>
        <v>3.5777350421994925E-4</v>
      </c>
      <c r="S150" s="287">
        <f t="shared" si="49"/>
        <v>3.0491413781419396E-5</v>
      </c>
      <c r="T150" s="287">
        <f t="shared" si="49"/>
        <v>6.1706452925136546E-7</v>
      </c>
      <c r="U150" s="287">
        <f t="shared" si="49"/>
        <v>6.7978697188664228E-5</v>
      </c>
      <c r="V150" s="287">
        <f t="shared" si="49"/>
        <v>0</v>
      </c>
      <c r="W150" s="287">
        <f t="shared" si="49"/>
        <v>2.0816632968490012E-6</v>
      </c>
      <c r="X150" s="287">
        <f t="shared" si="49"/>
        <v>2.0618379039660795E-6</v>
      </c>
      <c r="Y150" s="287">
        <f t="shared" si="49"/>
        <v>0</v>
      </c>
      <c r="Z150" s="287">
        <f t="shared" si="49"/>
        <v>4.3206027839914896E-6</v>
      </c>
      <c r="AA150" s="287"/>
      <c r="AB150" s="290"/>
      <c r="AC150" s="302">
        <f t="shared" si="47"/>
        <v>1.705448143184185E-3</v>
      </c>
      <c r="AD150" s="302">
        <f t="shared" si="47"/>
        <v>1.1469089367892593E-3</v>
      </c>
      <c r="AE150" s="302">
        <f t="shared" si="47"/>
        <v>1.1882303078891709E-4</v>
      </c>
      <c r="AF150" s="302">
        <f t="shared" si="47"/>
        <v>5.2331382676129579E-6</v>
      </c>
      <c r="AG150" s="302">
        <f t="shared" si="47"/>
        <v>3.7947279633954167E-4</v>
      </c>
      <c r="AH150" s="302">
        <f t="shared" si="47"/>
        <v>4.568051309661314E-6</v>
      </c>
      <c r="AI150" s="302">
        <f t="shared" si="47"/>
        <v>4.2352202399342787E-5</v>
      </c>
      <c r="AJ150" s="302">
        <f t="shared" si="47"/>
        <v>6.9849199917371152E-6</v>
      </c>
      <c r="AK150" s="302">
        <f t="shared" si="47"/>
        <v>0</v>
      </c>
      <c r="AL150" s="302">
        <f t="shared" si="47"/>
        <v>1.1050287866964936E-6</v>
      </c>
      <c r="AM150" s="302">
        <f t="shared" si="47"/>
        <v>0</v>
      </c>
    </row>
    <row r="151" spans="4:39" x14ac:dyDescent="0.3">
      <c r="D151" s="89" t="s">
        <v>286</v>
      </c>
      <c r="F151" s="287">
        <f t="shared" si="48"/>
        <v>0</v>
      </c>
      <c r="G151" s="287">
        <f t="shared" si="48"/>
        <v>0</v>
      </c>
      <c r="H151" s="287">
        <f t="shared" si="48"/>
        <v>0</v>
      </c>
      <c r="I151" s="287">
        <f t="shared" si="48"/>
        <v>0</v>
      </c>
      <c r="J151" s="287">
        <f t="shared" si="48"/>
        <v>0</v>
      </c>
      <c r="K151" s="287">
        <f t="shared" si="48"/>
        <v>0</v>
      </c>
      <c r="L151" s="287">
        <f t="shared" si="48"/>
        <v>0</v>
      </c>
      <c r="M151" s="287">
        <f t="shared" si="48"/>
        <v>0</v>
      </c>
      <c r="N151" s="287">
        <f t="shared" si="48"/>
        <v>0</v>
      </c>
      <c r="O151" s="287">
        <f t="shared" si="48"/>
        <v>0</v>
      </c>
      <c r="P151" s="287"/>
      <c r="Q151" s="287">
        <f t="shared" si="49"/>
        <v>0</v>
      </c>
      <c r="R151" s="287">
        <f t="shared" si="49"/>
        <v>0</v>
      </c>
      <c r="S151" s="287">
        <f t="shared" si="49"/>
        <v>0</v>
      </c>
      <c r="T151" s="287">
        <f t="shared" si="49"/>
        <v>0</v>
      </c>
      <c r="U151" s="287">
        <f t="shared" si="49"/>
        <v>0</v>
      </c>
      <c r="V151" s="287">
        <f t="shared" si="49"/>
        <v>0</v>
      </c>
      <c r="W151" s="287">
        <f t="shared" si="49"/>
        <v>0</v>
      </c>
      <c r="X151" s="287">
        <f t="shared" si="49"/>
        <v>0</v>
      </c>
      <c r="Y151" s="287">
        <f t="shared" si="49"/>
        <v>0</v>
      </c>
      <c r="Z151" s="287">
        <f t="shared" si="49"/>
        <v>0</v>
      </c>
      <c r="AA151" s="287"/>
      <c r="AB151" s="290"/>
      <c r="AC151" s="302">
        <f t="shared" si="47"/>
        <v>0</v>
      </c>
      <c r="AD151" s="302">
        <f t="shared" si="47"/>
        <v>0</v>
      </c>
      <c r="AE151" s="302">
        <f t="shared" si="47"/>
        <v>0</v>
      </c>
      <c r="AF151" s="302">
        <f t="shared" si="47"/>
        <v>0</v>
      </c>
      <c r="AG151" s="302">
        <f t="shared" si="47"/>
        <v>0</v>
      </c>
      <c r="AH151" s="302">
        <f t="shared" si="47"/>
        <v>0</v>
      </c>
      <c r="AI151" s="302">
        <f t="shared" si="47"/>
        <v>0</v>
      </c>
      <c r="AJ151" s="302">
        <f t="shared" si="47"/>
        <v>0</v>
      </c>
      <c r="AK151" s="302">
        <f t="shared" si="47"/>
        <v>0</v>
      </c>
      <c r="AL151" s="302">
        <f t="shared" si="47"/>
        <v>0</v>
      </c>
      <c r="AM151" s="302">
        <f t="shared" si="47"/>
        <v>0</v>
      </c>
    </row>
    <row r="152" spans="4:39" x14ac:dyDescent="0.3">
      <c r="D152" s="89" t="s">
        <v>70</v>
      </c>
      <c r="F152" s="287">
        <f t="shared" si="48"/>
        <v>-3.3777546923374757E-4</v>
      </c>
      <c r="G152" s="287">
        <f t="shared" si="48"/>
        <v>-1.9689111650222912E-4</v>
      </c>
      <c r="H152" s="287">
        <f t="shared" si="48"/>
        <v>-2.4460244731017156E-5</v>
      </c>
      <c r="I152" s="287">
        <f t="shared" si="48"/>
        <v>-5.4380666369979735E-7</v>
      </c>
      <c r="J152" s="287">
        <f t="shared" si="48"/>
        <v>-1.044077034748625E-4</v>
      </c>
      <c r="K152" s="287">
        <f t="shared" si="48"/>
        <v>-1.3562693510493773E-6</v>
      </c>
      <c r="L152" s="287">
        <f t="shared" si="48"/>
        <v>-1.2413805961841717E-5</v>
      </c>
      <c r="M152" s="287">
        <f t="shared" si="48"/>
        <v>2.2974927560426295E-6</v>
      </c>
      <c r="N152" s="287">
        <f t="shared" si="48"/>
        <v>0</v>
      </c>
      <c r="O152" s="287">
        <f t="shared" si="48"/>
        <v>0</v>
      </c>
      <c r="P152" s="287"/>
      <c r="Q152" s="287">
        <f t="shared" si="49"/>
        <v>1.7891839524963871E-4</v>
      </c>
      <c r="R152" s="287">
        <f t="shared" si="49"/>
        <v>1.5634018200216815E-4</v>
      </c>
      <c r="S152" s="287">
        <f t="shared" si="49"/>
        <v>1.1419327620387776E-5</v>
      </c>
      <c r="T152" s="287">
        <f t="shared" si="49"/>
        <v>1.2906507436127868E-6</v>
      </c>
      <c r="U152" s="287">
        <f t="shared" si="49"/>
        <v>4.2146937175857602E-6</v>
      </c>
      <c r="V152" s="287">
        <f t="shared" si="49"/>
        <v>4.8562657367634543E-11</v>
      </c>
      <c r="W152" s="287">
        <f t="shared" si="49"/>
        <v>5.8775468936289599E-9</v>
      </c>
      <c r="X152" s="287">
        <f t="shared" si="49"/>
        <v>5.6476274039596319E-6</v>
      </c>
      <c r="Y152" s="287">
        <f t="shared" si="49"/>
        <v>0</v>
      </c>
      <c r="Z152" s="287">
        <f t="shared" si="49"/>
        <v>0</v>
      </c>
      <c r="AA152" s="287"/>
      <c r="AB152" s="290"/>
      <c r="AC152" s="302">
        <f t="shared" si="47"/>
        <v>5.1669386448338628E-4</v>
      </c>
      <c r="AD152" s="302">
        <f t="shared" si="47"/>
        <v>3.5323129850439727E-4</v>
      </c>
      <c r="AE152" s="302">
        <f t="shared" si="47"/>
        <v>3.5879572351404931E-5</v>
      </c>
      <c r="AF152" s="302">
        <f t="shared" si="47"/>
        <v>1.8344574073125841E-6</v>
      </c>
      <c r="AG152" s="302">
        <f t="shared" si="47"/>
        <v>1.0862239719244826E-4</v>
      </c>
      <c r="AH152" s="302">
        <f t="shared" si="47"/>
        <v>1.3563179137067449E-6</v>
      </c>
      <c r="AI152" s="302">
        <f t="shared" si="47"/>
        <v>1.2419683508735346E-5</v>
      </c>
      <c r="AJ152" s="302">
        <f t="shared" si="47"/>
        <v>3.3501346479170024E-6</v>
      </c>
      <c r="AK152" s="302">
        <f t="shared" si="47"/>
        <v>0</v>
      </c>
      <c r="AL152" s="302">
        <f t="shared" si="47"/>
        <v>0</v>
      </c>
      <c r="AM152" s="302">
        <f t="shared" si="47"/>
        <v>0</v>
      </c>
    </row>
    <row r="153" spans="4:39" x14ac:dyDescent="0.3">
      <c r="D153" s="89" t="s">
        <v>71</v>
      </c>
      <c r="F153" s="287">
        <f t="shared" si="48"/>
        <v>-3.8505993143189698E-4</v>
      </c>
      <c r="G153" s="287">
        <f t="shared" si="48"/>
        <v>-2.4275653413496912E-4</v>
      </c>
      <c r="H153" s="287">
        <f t="shared" si="48"/>
        <v>-2.577187024144223E-5</v>
      </c>
      <c r="I153" s="287">
        <f t="shared" si="48"/>
        <v>-8.6802151599840727E-7</v>
      </c>
      <c r="J153" s="287">
        <f t="shared" si="48"/>
        <v>-1.0299669338564854E-4</v>
      </c>
      <c r="K153" s="287">
        <f t="shared" si="48"/>
        <v>-1.3583558882146463E-6</v>
      </c>
      <c r="L153" s="287">
        <f t="shared" si="48"/>
        <v>-1.2470999763536383E-5</v>
      </c>
      <c r="M153" s="287">
        <f t="shared" si="48"/>
        <v>1.1625406841631047E-6</v>
      </c>
      <c r="N153" s="287">
        <f t="shared" si="48"/>
        <v>0</v>
      </c>
      <c r="O153" s="287">
        <f t="shared" si="48"/>
        <v>0</v>
      </c>
      <c r="P153" s="287"/>
      <c r="Q153" s="287">
        <f t="shared" si="49"/>
        <v>1.2743755360133946E-4</v>
      </c>
      <c r="R153" s="287">
        <f t="shared" si="49"/>
        <v>1.027922990033403E-4</v>
      </c>
      <c r="S153" s="287">
        <f t="shared" si="49"/>
        <v>1.0492140063433908E-5</v>
      </c>
      <c r="T153" s="287">
        <f t="shared" si="49"/>
        <v>8.9428283445158741E-7</v>
      </c>
      <c r="U153" s="287">
        <f t="shared" si="49"/>
        <v>8.8102042354876176E-6</v>
      </c>
      <c r="V153" s="287">
        <f t="shared" si="49"/>
        <v>3.1370763764471121E-8</v>
      </c>
      <c r="W153" s="287">
        <f t="shared" si="49"/>
        <v>2.4163966827472905E-7</v>
      </c>
      <c r="X153" s="287">
        <f t="shared" si="49"/>
        <v>4.1756297832762357E-6</v>
      </c>
      <c r="Y153" s="287">
        <f t="shared" si="49"/>
        <v>0</v>
      </c>
      <c r="Z153" s="287">
        <f t="shared" si="49"/>
        <v>0</v>
      </c>
      <c r="AA153" s="287"/>
      <c r="AB153" s="290"/>
      <c r="AC153" s="302">
        <f t="shared" si="47"/>
        <v>5.1249748503323644E-4</v>
      </c>
      <c r="AD153" s="302">
        <f t="shared" si="47"/>
        <v>3.4554883313830942E-4</v>
      </c>
      <c r="AE153" s="302">
        <f t="shared" si="47"/>
        <v>3.6264010304876138E-5</v>
      </c>
      <c r="AF153" s="302">
        <f t="shared" si="47"/>
        <v>1.7623043504499947E-6</v>
      </c>
      <c r="AG153" s="302">
        <f t="shared" si="47"/>
        <v>1.1180689762113616E-4</v>
      </c>
      <c r="AH153" s="302">
        <f t="shared" si="47"/>
        <v>1.3897266519791174E-6</v>
      </c>
      <c r="AI153" s="302">
        <f t="shared" si="47"/>
        <v>1.2712639431811112E-5</v>
      </c>
      <c r="AJ153" s="302">
        <f t="shared" si="47"/>
        <v>3.0130890991131309E-6</v>
      </c>
      <c r="AK153" s="302">
        <f t="shared" si="47"/>
        <v>0</v>
      </c>
      <c r="AL153" s="302">
        <f t="shared" si="47"/>
        <v>0</v>
      </c>
      <c r="AM153" s="302">
        <f t="shared" si="47"/>
        <v>0</v>
      </c>
    </row>
    <row r="154" spans="4:39" x14ac:dyDescent="0.3">
      <c r="D154" s="89" t="s">
        <v>72</v>
      </c>
      <c r="F154" s="287">
        <f t="shared" si="48"/>
        <v>-8.422662745033449E-7</v>
      </c>
      <c r="G154" s="287">
        <f t="shared" si="48"/>
        <v>-1.8814464652905372E-6</v>
      </c>
      <c r="H154" s="287">
        <f t="shared" si="48"/>
        <v>-1.9789156890936965E-7</v>
      </c>
      <c r="I154" s="287">
        <f t="shared" si="48"/>
        <v>-9.0431150900904811E-9</v>
      </c>
      <c r="J154" s="287">
        <f t="shared" si="48"/>
        <v>-6.4525826815042819E-7</v>
      </c>
      <c r="K154" s="287">
        <f t="shared" si="48"/>
        <v>-8.1369906923534074E-9</v>
      </c>
      <c r="L154" s="287">
        <f t="shared" si="48"/>
        <v>1.9110213429485157E-6</v>
      </c>
      <c r="M154" s="287">
        <f t="shared" si="48"/>
        <v>-1.1511267217212406E-8</v>
      </c>
      <c r="N154" s="287">
        <f t="shared" si="48"/>
        <v>0</v>
      </c>
      <c r="O154" s="287">
        <f t="shared" si="48"/>
        <v>0</v>
      </c>
      <c r="P154" s="287"/>
      <c r="Q154" s="287">
        <f t="shared" si="49"/>
        <v>2.6595979534249636E-6</v>
      </c>
      <c r="R154" s="287">
        <f t="shared" si="49"/>
        <v>0</v>
      </c>
      <c r="S154" s="287">
        <f t="shared" si="49"/>
        <v>0</v>
      </c>
      <c r="T154" s="287">
        <f t="shared" si="49"/>
        <v>0</v>
      </c>
      <c r="U154" s="287">
        <f t="shared" si="49"/>
        <v>0</v>
      </c>
      <c r="V154" s="287">
        <f t="shared" si="49"/>
        <v>0</v>
      </c>
      <c r="W154" s="287">
        <f t="shared" si="49"/>
        <v>2.6595978397381259E-6</v>
      </c>
      <c r="X154" s="287">
        <f t="shared" si="49"/>
        <v>0</v>
      </c>
      <c r="Y154" s="287">
        <f t="shared" si="49"/>
        <v>0</v>
      </c>
      <c r="Z154" s="287">
        <f t="shared" si="49"/>
        <v>0</v>
      </c>
      <c r="AA154" s="287"/>
      <c r="AB154" s="290"/>
      <c r="AC154" s="302">
        <f t="shared" si="47"/>
        <v>3.5018642279283085E-6</v>
      </c>
      <c r="AD154" s="302">
        <f t="shared" si="47"/>
        <v>1.8814464652905372E-6</v>
      </c>
      <c r="AE154" s="302">
        <f t="shared" si="47"/>
        <v>1.9789156890936965E-7</v>
      </c>
      <c r="AF154" s="302">
        <f t="shared" si="47"/>
        <v>9.0431150900904811E-9</v>
      </c>
      <c r="AG154" s="302">
        <f t="shared" si="47"/>
        <v>6.4525826815042819E-7</v>
      </c>
      <c r="AH154" s="302">
        <f t="shared" si="47"/>
        <v>8.1369906923534074E-9</v>
      </c>
      <c r="AI154" s="302">
        <f t="shared" si="47"/>
        <v>7.4857649678961025E-7</v>
      </c>
      <c r="AJ154" s="302">
        <f t="shared" si="47"/>
        <v>1.1511267217212406E-8</v>
      </c>
      <c r="AK154" s="302">
        <f t="shared" si="47"/>
        <v>0</v>
      </c>
      <c r="AL154" s="302">
        <f t="shared" si="47"/>
        <v>0</v>
      </c>
      <c r="AM154" s="302">
        <f t="shared" si="47"/>
        <v>0</v>
      </c>
    </row>
    <row r="155" spans="4:39" x14ac:dyDescent="0.3">
      <c r="D155" s="89" t="s">
        <v>73</v>
      </c>
      <c r="F155" s="287">
        <f t="shared" si="48"/>
        <v>1.5444128075614572E-4</v>
      </c>
      <c r="G155" s="287">
        <f t="shared" si="48"/>
        <v>0</v>
      </c>
      <c r="H155" s="287">
        <f t="shared" si="48"/>
        <v>0</v>
      </c>
      <c r="I155" s="287">
        <f t="shared" si="48"/>
        <v>0</v>
      </c>
      <c r="J155" s="287">
        <f t="shared" si="48"/>
        <v>0</v>
      </c>
      <c r="K155" s="287">
        <f t="shared" si="48"/>
        <v>0</v>
      </c>
      <c r="L155" s="287">
        <f t="shared" si="48"/>
        <v>0</v>
      </c>
      <c r="M155" s="287">
        <f t="shared" si="48"/>
        <v>0</v>
      </c>
      <c r="N155" s="287">
        <f t="shared" si="48"/>
        <v>1.5444128075614572E-4</v>
      </c>
      <c r="O155" s="287">
        <f t="shared" si="48"/>
        <v>0</v>
      </c>
      <c r="P155" s="287"/>
      <c r="Q155" s="287">
        <f t="shared" si="49"/>
        <v>2.0751493866555393E-4</v>
      </c>
      <c r="R155" s="287">
        <f t="shared" si="49"/>
        <v>0</v>
      </c>
      <c r="S155" s="287">
        <f t="shared" si="49"/>
        <v>0</v>
      </c>
      <c r="T155" s="287">
        <f t="shared" si="49"/>
        <v>0</v>
      </c>
      <c r="U155" s="287">
        <f t="shared" si="49"/>
        <v>0</v>
      </c>
      <c r="V155" s="287">
        <f t="shared" si="49"/>
        <v>0</v>
      </c>
      <c r="W155" s="287">
        <f t="shared" si="49"/>
        <v>0</v>
      </c>
      <c r="X155" s="287">
        <f t="shared" si="49"/>
        <v>0</v>
      </c>
      <c r="Y155" s="287">
        <f t="shared" si="49"/>
        <v>2.0751493866555393E-4</v>
      </c>
      <c r="Z155" s="287">
        <f t="shared" si="49"/>
        <v>0</v>
      </c>
      <c r="AA155" s="287"/>
      <c r="AB155" s="290"/>
      <c r="AC155" s="302">
        <f t="shared" si="47"/>
        <v>5.3073657909408212E-5</v>
      </c>
      <c r="AD155" s="302">
        <f t="shared" si="47"/>
        <v>0</v>
      </c>
      <c r="AE155" s="302">
        <f t="shared" si="47"/>
        <v>0</v>
      </c>
      <c r="AF155" s="302">
        <f t="shared" si="47"/>
        <v>0</v>
      </c>
      <c r="AG155" s="302">
        <f t="shared" si="47"/>
        <v>0</v>
      </c>
      <c r="AH155" s="302">
        <f t="shared" si="47"/>
        <v>0</v>
      </c>
      <c r="AI155" s="302">
        <f t="shared" si="47"/>
        <v>0</v>
      </c>
      <c r="AJ155" s="302">
        <f t="shared" si="47"/>
        <v>0</v>
      </c>
      <c r="AK155" s="302">
        <f t="shared" si="47"/>
        <v>5.3073657909408212E-5</v>
      </c>
      <c r="AL155" s="302">
        <f t="shared" si="47"/>
        <v>0</v>
      </c>
      <c r="AM155" s="302">
        <f t="shared" si="47"/>
        <v>0</v>
      </c>
    </row>
    <row r="156" spans="4:39" x14ac:dyDescent="0.3">
      <c r="D156" s="89" t="s">
        <v>75</v>
      </c>
      <c r="F156" s="287">
        <f t="shared" si="48"/>
        <v>-1.0240767151117325E-3</v>
      </c>
      <c r="G156" s="287">
        <f t="shared" si="48"/>
        <v>-6.5888583776541054E-4</v>
      </c>
      <c r="H156" s="287">
        <f t="shared" si="48"/>
        <v>-7.2324692155234516E-5</v>
      </c>
      <c r="I156" s="287">
        <f t="shared" si="48"/>
        <v>-2.841681180143496E-6</v>
      </c>
      <c r="J156" s="287">
        <f t="shared" si="48"/>
        <v>-2.5574879873602185E-4</v>
      </c>
      <c r="K156" s="287">
        <f t="shared" si="48"/>
        <v>-3.2570635539741488E-6</v>
      </c>
      <c r="L156" s="287">
        <f t="shared" si="48"/>
        <v>-2.9816903179380461E-5</v>
      </c>
      <c r="M156" s="287">
        <f t="shared" si="48"/>
        <v>-1.2017389963148162E-6</v>
      </c>
      <c r="N156" s="287">
        <f t="shared" si="48"/>
        <v>0</v>
      </c>
      <c r="O156" s="287">
        <f t="shared" si="48"/>
        <v>0</v>
      </c>
      <c r="P156" s="287"/>
      <c r="Q156" s="287">
        <f t="shared" si="49"/>
        <v>4.5779309584759176E-4</v>
      </c>
      <c r="R156" s="287">
        <f t="shared" si="49"/>
        <v>-66.46117941729608</v>
      </c>
      <c r="S156" s="287">
        <f t="shared" si="49"/>
        <v>0.92901643854020222</v>
      </c>
      <c r="T156" s="287">
        <f t="shared" si="49"/>
        <v>1.2773635205564915</v>
      </c>
      <c r="U156" s="287">
        <f t="shared" si="49"/>
        <v>41.18531741411698</v>
      </c>
      <c r="V156" s="287">
        <f t="shared" si="49"/>
        <v>1.5483177847117142</v>
      </c>
      <c r="W156" s="287">
        <f t="shared" si="49"/>
        <v>16.102508230118787</v>
      </c>
      <c r="X156" s="287">
        <f t="shared" si="49"/>
        <v>5.4191138223459348</v>
      </c>
      <c r="Y156" s="287">
        <f t="shared" si="49"/>
        <v>0</v>
      </c>
      <c r="Z156" s="287">
        <f t="shared" si="49"/>
        <v>0</v>
      </c>
      <c r="AA156" s="287"/>
      <c r="AB156" s="290"/>
      <c r="AC156" s="302">
        <f t="shared" si="47"/>
        <v>1.4818698109593242E-3</v>
      </c>
      <c r="AD156" s="302">
        <f t="shared" si="47"/>
        <v>-66.460520531458315</v>
      </c>
      <c r="AE156" s="302">
        <f t="shared" si="47"/>
        <v>0.92908876323235745</v>
      </c>
      <c r="AF156" s="302">
        <f t="shared" si="47"/>
        <v>1.2773663622376716</v>
      </c>
      <c r="AG156" s="302">
        <f t="shared" si="47"/>
        <v>41.185573162915716</v>
      </c>
      <c r="AH156" s="302">
        <f t="shared" si="47"/>
        <v>1.5483210417752682</v>
      </c>
      <c r="AI156" s="302">
        <f t="shared" si="47"/>
        <v>16.102538047021966</v>
      </c>
      <c r="AJ156" s="302">
        <f t="shared" si="47"/>
        <v>5.4191150240849311</v>
      </c>
      <c r="AK156" s="302">
        <f t="shared" si="47"/>
        <v>0</v>
      </c>
      <c r="AL156" s="302">
        <f t="shared" si="47"/>
        <v>0</v>
      </c>
      <c r="AM156" s="302">
        <f t="shared" si="47"/>
        <v>0</v>
      </c>
    </row>
    <row r="157" spans="4:39" ht="15" thickBot="1" x14ac:dyDescent="0.35">
      <c r="D157" s="278" t="s">
        <v>77</v>
      </c>
      <c r="F157" s="303">
        <f>SUM(F145:F156)</f>
        <v>7.5546254540711288E-2</v>
      </c>
      <c r="G157" s="303">
        <f t="shared" ref="G157:O157" si="50">SUM(G145:G156)</f>
        <v>-17834.15221791558</v>
      </c>
      <c r="H157" s="303">
        <f t="shared" si="50"/>
        <v>249.28819900042927</v>
      </c>
      <c r="I157" s="303">
        <f t="shared" si="50"/>
        <v>342.76587582517357</v>
      </c>
      <c r="J157" s="303">
        <f t="shared" si="50"/>
        <v>11051.615075154121</v>
      </c>
      <c r="K157" s="303">
        <f t="shared" si="50"/>
        <v>415.47369965837385</v>
      </c>
      <c r="L157" s="303">
        <f t="shared" si="50"/>
        <v>4320.9272620700585</v>
      </c>
      <c r="M157" s="303">
        <f t="shared" si="50"/>
        <v>1454.1572301816366</v>
      </c>
      <c r="N157" s="303">
        <f t="shared" si="50"/>
        <v>1.5444128075614572E-4</v>
      </c>
      <c r="O157" s="303">
        <f t="shared" si="50"/>
        <v>3.2155739972949959E-6</v>
      </c>
      <c r="P157" s="305"/>
      <c r="Q157" s="303">
        <f>SUM(Q145:Q156)</f>
        <v>0.10150767872517008</v>
      </c>
      <c r="R157" s="303">
        <f t="shared" ref="R157:Z157" si="51">SUM(R145:R156)</f>
        <v>-23331.818173344429</v>
      </c>
      <c r="S157" s="303">
        <f t="shared" si="51"/>
        <v>326.13549314504189</v>
      </c>
      <c r="T157" s="303">
        <f t="shared" si="51"/>
        <v>448.42905032321369</v>
      </c>
      <c r="U157" s="303">
        <f t="shared" si="51"/>
        <v>14458.45619790634</v>
      </c>
      <c r="V157" s="303">
        <f t="shared" si="51"/>
        <v>543.55024414689933</v>
      </c>
      <c r="W157" s="303">
        <f t="shared" si="51"/>
        <v>5652.9235947295547</v>
      </c>
      <c r="X157" s="303">
        <f t="shared" si="51"/>
        <v>1902.4248889372329</v>
      </c>
      <c r="Y157" s="303">
        <f t="shared" si="51"/>
        <v>2.0751493866555393E-4</v>
      </c>
      <c r="Z157" s="303">
        <f t="shared" si="51"/>
        <v>4.3206027839914896E-6</v>
      </c>
      <c r="AA157" s="305"/>
      <c r="AB157" s="290"/>
      <c r="AC157" s="304">
        <f>SUM(AC145:AC156)</f>
        <v>2.5961424184458792E-2</v>
      </c>
      <c r="AD157" s="304">
        <f t="shared" ref="AD157:AM157" si="52">SUM(AD145:AD156)</f>
        <v>-5497.665955428849</v>
      </c>
      <c r="AE157" s="304">
        <f t="shared" si="52"/>
        <v>76.847294144612604</v>
      </c>
      <c r="AF157" s="304">
        <f t="shared" si="52"/>
        <v>105.66317449804014</v>
      </c>
      <c r="AG157" s="304">
        <f t="shared" si="52"/>
        <v>3406.841122752222</v>
      </c>
      <c r="AH157" s="304">
        <f t="shared" si="52"/>
        <v>128.07654448852563</v>
      </c>
      <c r="AI157" s="304">
        <f t="shared" si="52"/>
        <v>1331.9963326594961</v>
      </c>
      <c r="AJ157" s="304">
        <f t="shared" si="52"/>
        <v>448.26765875559653</v>
      </c>
      <c r="AK157" s="304">
        <f t="shared" si="52"/>
        <v>5.3073657909408212E-5</v>
      </c>
      <c r="AL157" s="304">
        <f t="shared" si="52"/>
        <v>1.1050287866964936E-6</v>
      </c>
      <c r="AM157" s="304">
        <f t="shared" si="52"/>
        <v>0</v>
      </c>
    </row>
    <row r="158" spans="4:39" ht="15" thickTop="1" x14ac:dyDescent="0.3">
      <c r="F158" s="305"/>
      <c r="G158" s="305"/>
      <c r="H158" s="305"/>
      <c r="I158" s="305"/>
      <c r="J158" s="305"/>
      <c r="K158" s="305"/>
      <c r="L158" s="305"/>
      <c r="M158" s="305"/>
      <c r="N158" s="305"/>
      <c r="O158" s="305"/>
      <c r="Q158" s="305">
        <f t="shared" ref="Q158:Y158" si="53">SUM(Q145:Q156)-Q157</f>
        <v>0</v>
      </c>
      <c r="R158" s="305">
        <f t="shared" si="53"/>
        <v>0</v>
      </c>
      <c r="S158" s="305">
        <f t="shared" si="53"/>
        <v>0</v>
      </c>
      <c r="T158" s="305">
        <f t="shared" si="53"/>
        <v>0</v>
      </c>
      <c r="U158" s="305">
        <f t="shared" si="53"/>
        <v>0</v>
      </c>
      <c r="V158" s="305">
        <f t="shared" si="53"/>
        <v>0</v>
      </c>
      <c r="W158" s="305">
        <f t="shared" si="53"/>
        <v>0</v>
      </c>
      <c r="X158" s="305">
        <f t="shared" si="53"/>
        <v>0</v>
      </c>
      <c r="Y158" s="305">
        <f t="shared" si="53"/>
        <v>0</v>
      </c>
      <c r="Z158" s="305"/>
      <c r="AB158" s="290"/>
    </row>
    <row r="159" spans="4:39" ht="18" x14ac:dyDescent="0.3">
      <c r="D159" s="300"/>
      <c r="E159" s="300">
        <v>2025</v>
      </c>
      <c r="F159" s="292"/>
      <c r="G159" s="292"/>
      <c r="H159" s="292"/>
      <c r="I159" s="292"/>
      <c r="J159" s="292"/>
      <c r="K159" s="292"/>
      <c r="M159" s="292"/>
      <c r="N159" s="292"/>
      <c r="O159" s="292"/>
      <c r="Q159" s="292"/>
      <c r="R159" s="292"/>
      <c r="S159" s="292"/>
      <c r="T159" s="292"/>
      <c r="U159" s="292"/>
      <c r="V159" s="292"/>
      <c r="X159" s="292"/>
      <c r="Y159" s="292"/>
      <c r="AB159" s="290"/>
    </row>
    <row r="160" spans="4:39" x14ac:dyDescent="0.3">
      <c r="D160" s="89" t="s">
        <v>285</v>
      </c>
      <c r="F160" s="287">
        <f>+F60-F110</f>
        <v>9.1050945222377777E-2</v>
      </c>
      <c r="G160" s="287">
        <f>+G60-G110</f>
        <v>-21752.004695811775</v>
      </c>
      <c r="H160" s="287">
        <f t="shared" ref="H160:O160" si="54">+H60-H110</f>
        <v>317.46058356914727</v>
      </c>
      <c r="I160" s="287">
        <f t="shared" si="54"/>
        <v>419.04177123513909</v>
      </c>
      <c r="J160" s="287">
        <f t="shared" si="54"/>
        <v>13523.635679904721</v>
      </c>
      <c r="K160" s="287">
        <f t="shared" si="54"/>
        <v>495.23108436203711</v>
      </c>
      <c r="L160" s="287">
        <f t="shared" si="54"/>
        <v>5218.9746596471741</v>
      </c>
      <c r="M160" s="287">
        <f t="shared" si="54"/>
        <v>1777.7517052271751</v>
      </c>
      <c r="N160" s="287">
        <f t="shared" si="54"/>
        <v>0</v>
      </c>
      <c r="O160" s="287">
        <f t="shared" si="54"/>
        <v>0</v>
      </c>
      <c r="P160" s="287"/>
      <c r="Q160" s="287">
        <f>+Q60-Q110</f>
        <v>0.1046721525490284</v>
      </c>
      <c r="R160" s="287">
        <f t="shared" ref="R160:Z160" si="55">+R60-R110</f>
        <v>-22510.045503014117</v>
      </c>
      <c r="S160" s="287">
        <f t="shared" si="55"/>
        <v>328.52450833597686</v>
      </c>
      <c r="T160" s="287">
        <f t="shared" si="55"/>
        <v>433.64522454656526</v>
      </c>
      <c r="U160" s="287">
        <f t="shared" si="55"/>
        <v>13994.931172052515</v>
      </c>
      <c r="V160" s="287">
        <f t="shared" si="55"/>
        <v>512.48969606901665</v>
      </c>
      <c r="W160" s="287">
        <f t="shared" si="55"/>
        <v>5400.8540136255906</v>
      </c>
      <c r="X160" s="287">
        <f t="shared" si="55"/>
        <v>1839.7055605369615</v>
      </c>
      <c r="Y160" s="287">
        <f t="shared" si="55"/>
        <v>0</v>
      </c>
      <c r="Z160" s="287">
        <f t="shared" si="55"/>
        <v>0</v>
      </c>
      <c r="AA160" s="287"/>
      <c r="AB160" s="290"/>
      <c r="AC160" s="302">
        <f t="shared" ref="AC160:AM171" si="56">Q160-F160</f>
        <v>1.362120732665062E-2</v>
      </c>
      <c r="AD160" s="302">
        <f t="shared" si="56"/>
        <v>-758.04080720234197</v>
      </c>
      <c r="AE160" s="302">
        <f t="shared" si="56"/>
        <v>11.063924766829587</v>
      </c>
      <c r="AF160" s="302">
        <f t="shared" si="56"/>
        <v>14.603453311426165</v>
      </c>
      <c r="AG160" s="302">
        <f t="shared" si="56"/>
        <v>471.29549214779399</v>
      </c>
      <c r="AH160" s="302">
        <f t="shared" si="56"/>
        <v>17.258611706979536</v>
      </c>
      <c r="AI160" s="302">
        <f t="shared" si="56"/>
        <v>181.87935397841648</v>
      </c>
      <c r="AJ160" s="302">
        <f t="shared" si="56"/>
        <v>61.953855309786377</v>
      </c>
      <c r="AK160" s="302">
        <f t="shared" si="56"/>
        <v>0</v>
      </c>
      <c r="AL160" s="302">
        <f t="shared" si="56"/>
        <v>0</v>
      </c>
      <c r="AM160" s="302">
        <f t="shared" si="56"/>
        <v>0</v>
      </c>
    </row>
    <row r="161" spans="2:39" x14ac:dyDescent="0.3">
      <c r="D161" s="89" t="s">
        <v>63</v>
      </c>
      <c r="F161" s="287">
        <f t="shared" ref="F161:O171" si="57">+F61-F111</f>
        <v>-1.4680181629955769E-3</v>
      </c>
      <c r="G161" s="287">
        <f t="shared" si="57"/>
        <v>4577.8573534212483</v>
      </c>
      <c r="H161" s="287">
        <f t="shared" si="57"/>
        <v>-66.81043452812446</v>
      </c>
      <c r="I161" s="287">
        <f t="shared" si="57"/>
        <v>-88.189912428553953</v>
      </c>
      <c r="J161" s="287">
        <f t="shared" si="57"/>
        <v>-2846.1296735250726</v>
      </c>
      <c r="K161" s="287">
        <f t="shared" si="57"/>
        <v>-104.22443841952213</v>
      </c>
      <c r="L161" s="287">
        <f t="shared" si="57"/>
        <v>-1098.365410415412</v>
      </c>
      <c r="M161" s="287">
        <f t="shared" si="57"/>
        <v>-374.13895212278476</v>
      </c>
      <c r="N161" s="287">
        <f t="shared" si="57"/>
        <v>0</v>
      </c>
      <c r="O161" s="287">
        <f t="shared" si="57"/>
        <v>0</v>
      </c>
      <c r="P161" s="287"/>
      <c r="Q161" s="287">
        <f t="shared" ref="Q161:Z171" si="58">+Q61-Q111</f>
        <v>1.0215307702310383E-4</v>
      </c>
      <c r="R161" s="287">
        <f t="shared" si="58"/>
        <v>5.3963973186910152E-5</v>
      </c>
      <c r="S161" s="287">
        <f t="shared" si="58"/>
        <v>5.6756889534881338E-6</v>
      </c>
      <c r="T161" s="287">
        <f t="shared" si="58"/>
        <v>5.3843041314394213E-7</v>
      </c>
      <c r="U161" s="287">
        <f t="shared" si="58"/>
        <v>3.40365368174389E-5</v>
      </c>
      <c r="V161" s="287">
        <f t="shared" si="58"/>
        <v>5.2330233302200213E-7</v>
      </c>
      <c r="W161" s="287">
        <f t="shared" si="58"/>
        <v>6.5534986788406968E-6</v>
      </c>
      <c r="X161" s="287">
        <f t="shared" si="58"/>
        <v>8.6162799561861902E-7</v>
      </c>
      <c r="Y161" s="287">
        <f t="shared" si="58"/>
        <v>0</v>
      </c>
      <c r="Z161" s="287">
        <f t="shared" si="58"/>
        <v>0</v>
      </c>
      <c r="AA161" s="287"/>
      <c r="AB161" s="290"/>
      <c r="AC161" s="302">
        <f t="shared" si="56"/>
        <v>1.5701712400186807E-3</v>
      </c>
      <c r="AD161" s="302">
        <f t="shared" si="56"/>
        <v>-4577.8572994572751</v>
      </c>
      <c r="AE161" s="302">
        <f t="shared" si="56"/>
        <v>66.810440203813414</v>
      </c>
      <c r="AF161" s="302">
        <f t="shared" si="56"/>
        <v>88.189912966984366</v>
      </c>
      <c r="AG161" s="302">
        <f t="shared" si="56"/>
        <v>2846.1297075616094</v>
      </c>
      <c r="AH161" s="302">
        <f t="shared" si="56"/>
        <v>104.22443894282446</v>
      </c>
      <c r="AI161" s="302">
        <f t="shared" si="56"/>
        <v>1098.3654169689107</v>
      </c>
      <c r="AJ161" s="302">
        <f t="shared" si="56"/>
        <v>374.13895298441275</v>
      </c>
      <c r="AK161" s="302">
        <f t="shared" si="56"/>
        <v>0</v>
      </c>
      <c r="AL161" s="302">
        <f t="shared" si="56"/>
        <v>0</v>
      </c>
      <c r="AM161" s="302">
        <f t="shared" si="56"/>
        <v>0</v>
      </c>
    </row>
    <row r="162" spans="2:39" x14ac:dyDescent="0.3">
      <c r="D162" s="89" t="s">
        <v>64</v>
      </c>
      <c r="F162" s="287">
        <f t="shared" si="57"/>
        <v>-3.0414320644922554E-3</v>
      </c>
      <c r="G162" s="287">
        <f t="shared" si="57"/>
        <v>-2.0310520194470882E-3</v>
      </c>
      <c r="H162" s="287">
        <f t="shared" si="57"/>
        <v>-2.1470934734679759E-4</v>
      </c>
      <c r="I162" s="287">
        <f t="shared" si="57"/>
        <v>-9.6989642770495266E-6</v>
      </c>
      <c r="J162" s="287">
        <f t="shared" si="57"/>
        <v>-6.868375203339383E-4</v>
      </c>
      <c r="K162" s="287">
        <f t="shared" si="57"/>
        <v>-8.6668569565517828E-6</v>
      </c>
      <c r="L162" s="287">
        <f t="shared" si="57"/>
        <v>-7.759871004964225E-5</v>
      </c>
      <c r="M162" s="287">
        <f t="shared" si="57"/>
        <v>-1.2868687008449342E-5</v>
      </c>
      <c r="N162" s="287">
        <f t="shared" si="57"/>
        <v>0</v>
      </c>
      <c r="O162" s="287">
        <f t="shared" si="57"/>
        <v>0</v>
      </c>
      <c r="P162" s="287"/>
      <c r="Q162" s="287">
        <f t="shared" si="58"/>
        <v>1.741115702316165E-4</v>
      </c>
      <c r="R162" s="287">
        <f t="shared" si="58"/>
        <v>1.0922271758317947E-4</v>
      </c>
      <c r="S162" s="287">
        <f t="shared" si="58"/>
        <v>9.4216738943941891E-6</v>
      </c>
      <c r="T162" s="287">
        <f t="shared" si="58"/>
        <v>5.8300179262005258E-7</v>
      </c>
      <c r="U162" s="287">
        <f t="shared" si="58"/>
        <v>4.7298090066760778E-5</v>
      </c>
      <c r="V162" s="287">
        <f t="shared" si="58"/>
        <v>4.9871209739649203E-7</v>
      </c>
      <c r="W162" s="287">
        <f t="shared" si="58"/>
        <v>7.026457751635462E-6</v>
      </c>
      <c r="X162" s="287">
        <f t="shared" si="58"/>
        <v>6.0875663621118292E-8</v>
      </c>
      <c r="Y162" s="287">
        <f t="shared" si="58"/>
        <v>0</v>
      </c>
      <c r="Z162" s="287">
        <f t="shared" si="58"/>
        <v>0</v>
      </c>
      <c r="AA162" s="287"/>
      <c r="AB162" s="290"/>
      <c r="AC162" s="302">
        <f t="shared" si="56"/>
        <v>3.2155436347238719E-3</v>
      </c>
      <c r="AD162" s="302">
        <f t="shared" si="56"/>
        <v>2.1402747370302677E-3</v>
      </c>
      <c r="AE162" s="302">
        <f t="shared" si="56"/>
        <v>2.2413102124119177E-4</v>
      </c>
      <c r="AF162" s="302">
        <f t="shared" si="56"/>
        <v>1.0281966069669579E-5</v>
      </c>
      <c r="AG162" s="302">
        <f t="shared" si="56"/>
        <v>7.3413561040069908E-4</v>
      </c>
      <c r="AH162" s="302">
        <f t="shared" si="56"/>
        <v>9.1655690539482748E-6</v>
      </c>
      <c r="AI162" s="302">
        <f t="shared" si="56"/>
        <v>8.4625167801277712E-5</v>
      </c>
      <c r="AJ162" s="302">
        <f t="shared" si="56"/>
        <v>1.292956267207046E-5</v>
      </c>
      <c r="AK162" s="302">
        <f t="shared" si="56"/>
        <v>0</v>
      </c>
      <c r="AL162" s="302">
        <f t="shared" si="56"/>
        <v>0</v>
      </c>
      <c r="AM162" s="302">
        <f t="shared" si="56"/>
        <v>0</v>
      </c>
    </row>
    <row r="163" spans="2:39" x14ac:dyDescent="0.3">
      <c r="D163" s="89" t="s">
        <v>65</v>
      </c>
      <c r="F163" s="287">
        <f t="shared" si="57"/>
        <v>-3.8370696129277349E-3</v>
      </c>
      <c r="G163" s="287">
        <f t="shared" si="57"/>
        <v>-2.5638554361648858E-3</v>
      </c>
      <c r="H163" s="287">
        <f t="shared" si="57"/>
        <v>-2.7166675863554701E-4</v>
      </c>
      <c r="I163" s="287">
        <f t="shared" si="57"/>
        <v>-1.2411052921379451E-5</v>
      </c>
      <c r="J163" s="287">
        <f t="shared" si="57"/>
        <v>-8.6355552775785327E-4</v>
      </c>
      <c r="K163" s="287">
        <f t="shared" si="57"/>
        <v>-1.0528104212426115E-5</v>
      </c>
      <c r="L163" s="287">
        <f t="shared" si="57"/>
        <v>-1.0095656580233481E-4</v>
      </c>
      <c r="M163" s="287">
        <f t="shared" si="57"/>
        <v>-1.409621472703293E-5</v>
      </c>
      <c r="N163" s="287">
        <f t="shared" si="57"/>
        <v>0</v>
      </c>
      <c r="O163" s="287">
        <f t="shared" si="57"/>
        <v>0</v>
      </c>
      <c r="P163" s="287"/>
      <c r="Q163" s="287">
        <f t="shared" si="58"/>
        <v>4.1212397627532482E-4</v>
      </c>
      <c r="R163" s="287">
        <f t="shared" si="58"/>
        <v>2.6401947252452374E-4</v>
      </c>
      <c r="S163" s="287">
        <f t="shared" si="58"/>
        <v>2.4285844119731337E-5</v>
      </c>
      <c r="T163" s="287">
        <f t="shared" si="58"/>
        <v>1.1163324415974785E-6</v>
      </c>
      <c r="U163" s="287">
        <f t="shared" si="58"/>
        <v>1.0745934559963644E-4</v>
      </c>
      <c r="V163" s="287">
        <f t="shared" si="58"/>
        <v>1.7215743355336599E-6</v>
      </c>
      <c r="W163" s="287">
        <f t="shared" si="58"/>
        <v>9.7959382401313633E-6</v>
      </c>
      <c r="X163" s="287">
        <f t="shared" si="58"/>
        <v>3.7255931601976044E-6</v>
      </c>
      <c r="Y163" s="287">
        <f t="shared" si="58"/>
        <v>0</v>
      </c>
      <c r="Z163" s="287">
        <f t="shared" si="58"/>
        <v>0</v>
      </c>
      <c r="AA163" s="287"/>
      <c r="AB163" s="290"/>
      <c r="AC163" s="302">
        <f t="shared" si="56"/>
        <v>4.2491935892030597E-3</v>
      </c>
      <c r="AD163" s="302">
        <f t="shared" si="56"/>
        <v>2.8278749086894095E-3</v>
      </c>
      <c r="AE163" s="302">
        <f t="shared" si="56"/>
        <v>2.9595260275527835E-4</v>
      </c>
      <c r="AF163" s="302">
        <f t="shared" si="56"/>
        <v>1.3527385362976929E-5</v>
      </c>
      <c r="AG163" s="302">
        <f t="shared" si="56"/>
        <v>9.7101487335748971E-4</v>
      </c>
      <c r="AH163" s="302">
        <f t="shared" si="56"/>
        <v>1.2249678547959775E-5</v>
      </c>
      <c r="AI163" s="302">
        <f t="shared" si="56"/>
        <v>1.1075250404246617E-4</v>
      </c>
      <c r="AJ163" s="302">
        <f t="shared" si="56"/>
        <v>1.7821807887230534E-5</v>
      </c>
      <c r="AK163" s="302">
        <f t="shared" si="56"/>
        <v>0</v>
      </c>
      <c r="AL163" s="302">
        <f t="shared" si="56"/>
        <v>0</v>
      </c>
      <c r="AM163" s="302">
        <f t="shared" si="56"/>
        <v>0</v>
      </c>
    </row>
    <row r="164" spans="2:39" x14ac:dyDescent="0.3">
      <c r="D164" s="89" t="s">
        <v>66</v>
      </c>
      <c r="F164" s="287">
        <f t="shared" si="57"/>
        <v>0</v>
      </c>
      <c r="G164" s="287">
        <f t="shared" si="57"/>
        <v>0</v>
      </c>
      <c r="H164" s="287">
        <f t="shared" si="57"/>
        <v>0</v>
      </c>
      <c r="I164" s="287">
        <f t="shared" si="57"/>
        <v>0</v>
      </c>
      <c r="J164" s="287">
        <f t="shared" si="57"/>
        <v>0</v>
      </c>
      <c r="K164" s="287">
        <f t="shared" si="57"/>
        <v>0</v>
      </c>
      <c r="L164" s="287">
        <f t="shared" si="57"/>
        <v>0</v>
      </c>
      <c r="M164" s="287">
        <f t="shared" si="57"/>
        <v>0</v>
      </c>
      <c r="N164" s="287">
        <f t="shared" si="57"/>
        <v>0</v>
      </c>
      <c r="O164" s="287">
        <f t="shared" si="57"/>
        <v>0</v>
      </c>
      <c r="P164" s="287"/>
      <c r="Q164" s="287">
        <f t="shared" si="58"/>
        <v>0</v>
      </c>
      <c r="R164" s="287">
        <f t="shared" si="58"/>
        <v>0</v>
      </c>
      <c r="S164" s="287">
        <f t="shared" si="58"/>
        <v>0</v>
      </c>
      <c r="T164" s="287">
        <f t="shared" si="58"/>
        <v>0</v>
      </c>
      <c r="U164" s="287">
        <f t="shared" si="58"/>
        <v>0</v>
      </c>
      <c r="V164" s="287">
        <f t="shared" si="58"/>
        <v>0</v>
      </c>
      <c r="W164" s="287">
        <f t="shared" si="58"/>
        <v>0</v>
      </c>
      <c r="X164" s="287">
        <f t="shared" si="58"/>
        <v>0</v>
      </c>
      <c r="Y164" s="287">
        <f t="shared" si="58"/>
        <v>0</v>
      </c>
      <c r="Z164" s="287">
        <f t="shared" si="58"/>
        <v>0</v>
      </c>
      <c r="AA164" s="287"/>
      <c r="AB164" s="290"/>
      <c r="AC164" s="302">
        <f t="shared" si="56"/>
        <v>0</v>
      </c>
      <c r="AD164" s="302">
        <f t="shared" si="56"/>
        <v>0</v>
      </c>
      <c r="AE164" s="302">
        <f t="shared" si="56"/>
        <v>0</v>
      </c>
      <c r="AF164" s="302">
        <f t="shared" si="56"/>
        <v>0</v>
      </c>
      <c r="AG164" s="302">
        <f t="shared" si="56"/>
        <v>0</v>
      </c>
      <c r="AH164" s="302">
        <f t="shared" si="56"/>
        <v>0</v>
      </c>
      <c r="AI164" s="302">
        <f t="shared" si="56"/>
        <v>0</v>
      </c>
      <c r="AJ164" s="302">
        <f t="shared" si="56"/>
        <v>0</v>
      </c>
      <c r="AK164" s="302">
        <f t="shared" si="56"/>
        <v>0</v>
      </c>
      <c r="AL164" s="302">
        <f t="shared" si="56"/>
        <v>0</v>
      </c>
      <c r="AM164" s="302">
        <f t="shared" si="56"/>
        <v>0</v>
      </c>
    </row>
    <row r="165" spans="2:39" x14ac:dyDescent="0.3">
      <c r="D165" s="89" t="s">
        <v>68</v>
      </c>
      <c r="F165" s="287">
        <f t="shared" si="57"/>
        <v>-1.5053239767439663E-3</v>
      </c>
      <c r="G165" s="287">
        <f t="shared" si="57"/>
        <v>-9.7612608806230128E-4</v>
      </c>
      <c r="H165" s="287">
        <f t="shared" si="57"/>
        <v>-1.0633772035362199E-4</v>
      </c>
      <c r="I165" s="287">
        <f t="shared" si="57"/>
        <v>-5.2686168032778369E-6</v>
      </c>
      <c r="J165" s="287">
        <f t="shared" si="57"/>
        <v>-3.6286690010456368E-4</v>
      </c>
      <c r="K165" s="287">
        <f t="shared" si="57"/>
        <v>-4.9913427346837125E-6</v>
      </c>
      <c r="L165" s="287">
        <f t="shared" si="57"/>
        <v>-4.4654520934273023E-5</v>
      </c>
      <c r="M165" s="287">
        <f t="shared" si="57"/>
        <v>-6.0384356856957311E-6</v>
      </c>
      <c r="N165" s="287">
        <f t="shared" si="57"/>
        <v>0</v>
      </c>
      <c r="O165" s="287">
        <f t="shared" si="57"/>
        <v>9.5969153335317969E-7</v>
      </c>
      <c r="P165" s="287"/>
      <c r="Q165" s="287">
        <f t="shared" si="58"/>
        <v>3.2938650110736489E-4</v>
      </c>
      <c r="R165" s="287">
        <f t="shared" si="58"/>
        <v>2.5507592363283038E-4</v>
      </c>
      <c r="S165" s="287">
        <f t="shared" si="58"/>
        <v>2.1574811398750171E-5</v>
      </c>
      <c r="T165" s="287">
        <f t="shared" si="58"/>
        <v>4.3854100795215345E-7</v>
      </c>
      <c r="U165" s="287">
        <f t="shared" si="58"/>
        <v>4.808276571566239E-5</v>
      </c>
      <c r="V165" s="287">
        <f t="shared" si="58"/>
        <v>0</v>
      </c>
      <c r="W165" s="287">
        <f t="shared" si="58"/>
        <v>1.4618035493185744E-6</v>
      </c>
      <c r="X165" s="287">
        <f t="shared" si="58"/>
        <v>1.4635645584348822E-6</v>
      </c>
      <c r="Y165" s="287">
        <f t="shared" si="58"/>
        <v>0</v>
      </c>
      <c r="Z165" s="287">
        <f t="shared" si="58"/>
        <v>1.2891314327134751E-6</v>
      </c>
      <c r="AA165" s="287"/>
      <c r="AB165" s="290"/>
      <c r="AC165" s="302">
        <f t="shared" si="56"/>
        <v>1.8347104778513312E-3</v>
      </c>
      <c r="AD165" s="302">
        <f t="shared" si="56"/>
        <v>1.2312020116951317E-3</v>
      </c>
      <c r="AE165" s="302">
        <f t="shared" si="56"/>
        <v>1.2791253175237216E-4</v>
      </c>
      <c r="AF165" s="302">
        <f t="shared" si="56"/>
        <v>5.7071578112299903E-6</v>
      </c>
      <c r="AG165" s="302">
        <f t="shared" si="56"/>
        <v>4.1094966582022607E-4</v>
      </c>
      <c r="AH165" s="302">
        <f t="shared" si="56"/>
        <v>4.9913427346837125E-6</v>
      </c>
      <c r="AI165" s="302">
        <f t="shared" si="56"/>
        <v>4.6116324483591598E-5</v>
      </c>
      <c r="AJ165" s="302">
        <f t="shared" si="56"/>
        <v>7.5020002441306133E-6</v>
      </c>
      <c r="AK165" s="302">
        <f t="shared" si="56"/>
        <v>0</v>
      </c>
      <c r="AL165" s="302">
        <f t="shared" si="56"/>
        <v>3.2943989936029539E-7</v>
      </c>
      <c r="AM165" s="302">
        <f t="shared" si="56"/>
        <v>0</v>
      </c>
    </row>
    <row r="166" spans="2:39" x14ac:dyDescent="0.3">
      <c r="D166" s="89" t="s">
        <v>286</v>
      </c>
      <c r="F166" s="287">
        <f t="shared" si="57"/>
        <v>0</v>
      </c>
      <c r="G166" s="287">
        <f t="shared" si="57"/>
        <v>0</v>
      </c>
      <c r="H166" s="287">
        <f t="shared" si="57"/>
        <v>0</v>
      </c>
      <c r="I166" s="287">
        <f t="shared" si="57"/>
        <v>0</v>
      </c>
      <c r="J166" s="287">
        <f t="shared" si="57"/>
        <v>0</v>
      </c>
      <c r="K166" s="287">
        <f t="shared" si="57"/>
        <v>0</v>
      </c>
      <c r="L166" s="287">
        <f t="shared" si="57"/>
        <v>0</v>
      </c>
      <c r="M166" s="287">
        <f t="shared" si="57"/>
        <v>0</v>
      </c>
      <c r="N166" s="287">
        <f t="shared" si="57"/>
        <v>0</v>
      </c>
      <c r="O166" s="287">
        <f t="shared" si="57"/>
        <v>0</v>
      </c>
      <c r="P166" s="287"/>
      <c r="Q166" s="287">
        <f t="shared" si="58"/>
        <v>0</v>
      </c>
      <c r="R166" s="287">
        <f t="shared" si="58"/>
        <v>0</v>
      </c>
      <c r="S166" s="287">
        <f t="shared" si="58"/>
        <v>0</v>
      </c>
      <c r="T166" s="287">
        <f t="shared" si="58"/>
        <v>0</v>
      </c>
      <c r="U166" s="287">
        <f t="shared" si="58"/>
        <v>0</v>
      </c>
      <c r="V166" s="287">
        <f t="shared" si="58"/>
        <v>0</v>
      </c>
      <c r="W166" s="287">
        <f t="shared" si="58"/>
        <v>0</v>
      </c>
      <c r="X166" s="287">
        <f t="shared" si="58"/>
        <v>0</v>
      </c>
      <c r="Y166" s="287">
        <f t="shared" si="58"/>
        <v>0</v>
      </c>
      <c r="Z166" s="287">
        <f t="shared" si="58"/>
        <v>0</v>
      </c>
      <c r="AA166" s="287"/>
      <c r="AB166" s="290"/>
      <c r="AC166" s="302">
        <f t="shared" si="56"/>
        <v>0</v>
      </c>
      <c r="AD166" s="302">
        <f t="shared" si="56"/>
        <v>0</v>
      </c>
      <c r="AE166" s="302">
        <f t="shared" si="56"/>
        <v>0</v>
      </c>
      <c r="AF166" s="302">
        <f t="shared" si="56"/>
        <v>0</v>
      </c>
      <c r="AG166" s="302">
        <f t="shared" si="56"/>
        <v>0</v>
      </c>
      <c r="AH166" s="302">
        <f t="shared" si="56"/>
        <v>0</v>
      </c>
      <c r="AI166" s="302">
        <f t="shared" si="56"/>
        <v>0</v>
      </c>
      <c r="AJ166" s="302">
        <f t="shared" si="56"/>
        <v>0</v>
      </c>
      <c r="AK166" s="302">
        <f t="shared" si="56"/>
        <v>0</v>
      </c>
      <c r="AL166" s="302">
        <f t="shared" si="56"/>
        <v>0</v>
      </c>
      <c r="AM166" s="302">
        <f t="shared" si="56"/>
        <v>0</v>
      </c>
    </row>
    <row r="167" spans="2:39" x14ac:dyDescent="0.3">
      <c r="D167" s="89" t="s">
        <v>70</v>
      </c>
      <c r="F167" s="287">
        <f t="shared" si="57"/>
        <v>-4.3096299486933276E-4</v>
      </c>
      <c r="G167" s="287">
        <f t="shared" si="57"/>
        <v>-2.6863998209591955E-4</v>
      </c>
      <c r="H167" s="287">
        <f t="shared" si="57"/>
        <v>-3.0647787752968725E-5</v>
      </c>
      <c r="I167" s="287">
        <f t="shared" si="57"/>
        <v>-1.0149489639843523E-6</v>
      </c>
      <c r="J167" s="287">
        <f t="shared" si="57"/>
        <v>-1.1629764503595652E-4</v>
      </c>
      <c r="K167" s="287">
        <f t="shared" si="57"/>
        <v>-1.482065279390099E-6</v>
      </c>
      <c r="L167" s="287">
        <f t="shared" si="57"/>
        <v>-1.3580433744664333E-5</v>
      </c>
      <c r="M167" s="287">
        <f t="shared" si="57"/>
        <v>6.9985253503546119E-7</v>
      </c>
      <c r="N167" s="287">
        <f t="shared" si="57"/>
        <v>0</v>
      </c>
      <c r="O167" s="287">
        <f t="shared" si="57"/>
        <v>0</v>
      </c>
      <c r="P167" s="287"/>
      <c r="Q167" s="287">
        <f t="shared" si="58"/>
        <v>1.192576382891275E-4</v>
      </c>
      <c r="R167" s="287">
        <f t="shared" si="58"/>
        <v>1.041417708620429E-4</v>
      </c>
      <c r="S167" s="287">
        <f t="shared" si="58"/>
        <v>7.648355676792562E-6</v>
      </c>
      <c r="T167" s="287">
        <f t="shared" si="58"/>
        <v>8.6623259676343878E-7</v>
      </c>
      <c r="U167" s="287">
        <f t="shared" si="58"/>
        <v>2.8235281206434593E-6</v>
      </c>
      <c r="V167" s="287">
        <f t="shared" si="58"/>
        <v>3.2723967632874995E-11</v>
      </c>
      <c r="W167" s="287">
        <f t="shared" si="58"/>
        <v>3.9792213968325996E-9</v>
      </c>
      <c r="X167" s="287">
        <f t="shared" si="58"/>
        <v>3.7737490856670775E-6</v>
      </c>
      <c r="Y167" s="287">
        <f t="shared" si="58"/>
        <v>0</v>
      </c>
      <c r="Z167" s="287">
        <f t="shared" si="58"/>
        <v>0</v>
      </c>
      <c r="AA167" s="287"/>
      <c r="AB167" s="290"/>
      <c r="AC167" s="302">
        <f t="shared" si="56"/>
        <v>5.5022063315846026E-4</v>
      </c>
      <c r="AD167" s="302">
        <f t="shared" si="56"/>
        <v>3.7278175295796245E-4</v>
      </c>
      <c r="AE167" s="302">
        <f t="shared" si="56"/>
        <v>3.8296143429761287E-5</v>
      </c>
      <c r="AF167" s="302">
        <f t="shared" si="56"/>
        <v>1.8811815607477911E-6</v>
      </c>
      <c r="AG167" s="302">
        <f t="shared" si="56"/>
        <v>1.1912117315659998E-4</v>
      </c>
      <c r="AH167" s="302">
        <f t="shared" si="56"/>
        <v>1.4820980033577319E-6</v>
      </c>
      <c r="AI167" s="302">
        <f t="shared" si="56"/>
        <v>1.3584412966061166E-5</v>
      </c>
      <c r="AJ167" s="302">
        <f t="shared" si="56"/>
        <v>3.0738965506316163E-6</v>
      </c>
      <c r="AK167" s="302">
        <f t="shared" si="56"/>
        <v>0</v>
      </c>
      <c r="AL167" s="302">
        <f t="shared" si="56"/>
        <v>0</v>
      </c>
      <c r="AM167" s="302">
        <f t="shared" si="56"/>
        <v>0</v>
      </c>
    </row>
    <row r="168" spans="2:39" x14ac:dyDescent="0.3">
      <c r="D168" s="89" t="s">
        <v>71</v>
      </c>
      <c r="F168" s="287">
        <f t="shared" si="57"/>
        <v>-4.480112693272531E-4</v>
      </c>
      <c r="G168" s="287">
        <f t="shared" si="57"/>
        <v>-2.9041740344837308E-4</v>
      </c>
      <c r="H168" s="287">
        <f t="shared" si="57"/>
        <v>-3.0590861570090055E-5</v>
      </c>
      <c r="I168" s="287">
        <f t="shared" si="57"/>
        <v>-1.2095063084416324E-6</v>
      </c>
      <c r="J168" s="287">
        <f t="shared" si="57"/>
        <v>-1.1110208197351312E-4</v>
      </c>
      <c r="K168" s="287">
        <f t="shared" si="57"/>
        <v>-1.4262795104968973E-6</v>
      </c>
      <c r="L168" s="287">
        <f t="shared" si="57"/>
        <v>-1.3092532867631235E-5</v>
      </c>
      <c r="M168" s="287">
        <f t="shared" si="57"/>
        <v>-1.7260936147067696E-7</v>
      </c>
      <c r="N168" s="287">
        <f t="shared" si="57"/>
        <v>0</v>
      </c>
      <c r="O168" s="287">
        <f t="shared" si="57"/>
        <v>0</v>
      </c>
      <c r="P168" s="287"/>
      <c r="Q168" s="287">
        <f t="shared" si="58"/>
        <v>7.6922602602280676E-5</v>
      </c>
      <c r="R168" s="287">
        <f t="shared" si="58"/>
        <v>6.1982049373909831E-5</v>
      </c>
      <c r="S168" s="287">
        <f t="shared" si="58"/>
        <v>6.3612551457481459E-6</v>
      </c>
      <c r="T168" s="287">
        <f t="shared" si="58"/>
        <v>5.4331508181348909E-7</v>
      </c>
      <c r="U168" s="287">
        <f t="shared" si="58"/>
        <v>5.3429412218974903E-6</v>
      </c>
      <c r="V168" s="287">
        <f t="shared" si="58"/>
        <v>1.9181523924771682E-8</v>
      </c>
      <c r="W168" s="287">
        <f t="shared" si="58"/>
        <v>1.4816376392445818E-7</v>
      </c>
      <c r="X168" s="287">
        <f t="shared" si="58"/>
        <v>2.5256899789383169E-6</v>
      </c>
      <c r="Y168" s="287">
        <f t="shared" si="58"/>
        <v>0</v>
      </c>
      <c r="Z168" s="287">
        <f t="shared" si="58"/>
        <v>0</v>
      </c>
      <c r="AA168" s="287"/>
      <c r="AB168" s="290"/>
      <c r="AC168" s="302">
        <f t="shared" si="56"/>
        <v>5.2493387192953378E-4</v>
      </c>
      <c r="AD168" s="302">
        <f t="shared" si="56"/>
        <v>3.5239945282228291E-4</v>
      </c>
      <c r="AE168" s="302">
        <f t="shared" si="56"/>
        <v>3.6952116715838201E-5</v>
      </c>
      <c r="AF168" s="302">
        <f t="shared" si="56"/>
        <v>1.7528213902551215E-6</v>
      </c>
      <c r="AG168" s="302">
        <f t="shared" si="56"/>
        <v>1.1644502319541061E-4</v>
      </c>
      <c r="AH168" s="302">
        <f t="shared" si="56"/>
        <v>1.445461034421669E-6</v>
      </c>
      <c r="AI168" s="302">
        <f t="shared" si="56"/>
        <v>1.3240696631555693E-5</v>
      </c>
      <c r="AJ168" s="302">
        <f t="shared" si="56"/>
        <v>2.6982993404089939E-6</v>
      </c>
      <c r="AK168" s="302">
        <f t="shared" si="56"/>
        <v>0</v>
      </c>
      <c r="AL168" s="302">
        <f t="shared" si="56"/>
        <v>0</v>
      </c>
      <c r="AM168" s="302">
        <f t="shared" si="56"/>
        <v>0</v>
      </c>
    </row>
    <row r="169" spans="2:39" x14ac:dyDescent="0.3">
      <c r="D169" s="89" t="s">
        <v>72</v>
      </c>
      <c r="F169" s="287">
        <f t="shared" si="57"/>
        <v>-2.0883782099190284E-6</v>
      </c>
      <c r="G169" s="287">
        <f t="shared" si="57"/>
        <v>-2.2950126918885871E-6</v>
      </c>
      <c r="H169" s="287">
        <f t="shared" si="57"/>
        <v>-2.4089041250618948E-7</v>
      </c>
      <c r="I169" s="287">
        <f t="shared" si="57"/>
        <v>-1.1009283595875274E-8</v>
      </c>
      <c r="J169" s="287">
        <f t="shared" si="57"/>
        <v>-7.8450471008295608E-7</v>
      </c>
      <c r="K169" s="287">
        <f t="shared" si="57"/>
        <v>-9.819694946067159E-9</v>
      </c>
      <c r="L169" s="287">
        <f t="shared" si="57"/>
        <v>1.2668878639487957E-6</v>
      </c>
      <c r="M169" s="287">
        <f t="shared" si="57"/>
        <v>-1.4029257144887453E-8</v>
      </c>
      <c r="N169" s="287">
        <f t="shared" si="57"/>
        <v>0</v>
      </c>
      <c r="O169" s="287">
        <f t="shared" si="57"/>
        <v>0</v>
      </c>
      <c r="P169" s="287"/>
      <c r="Q169" s="287">
        <f t="shared" si="58"/>
        <v>1.8175416016674717E-6</v>
      </c>
      <c r="R169" s="287">
        <f t="shared" si="58"/>
        <v>0</v>
      </c>
      <c r="S169" s="287">
        <f t="shared" si="58"/>
        <v>0</v>
      </c>
      <c r="T169" s="287">
        <f t="shared" si="58"/>
        <v>0</v>
      </c>
      <c r="U169" s="287">
        <f t="shared" si="58"/>
        <v>0</v>
      </c>
      <c r="V169" s="287">
        <f t="shared" si="58"/>
        <v>0</v>
      </c>
      <c r="W169" s="287">
        <f t="shared" si="58"/>
        <v>1.8175416016674717E-6</v>
      </c>
      <c r="X169" s="287">
        <f t="shared" si="58"/>
        <v>0</v>
      </c>
      <c r="Y169" s="287">
        <f t="shared" si="58"/>
        <v>0</v>
      </c>
      <c r="Z169" s="287">
        <f t="shared" si="58"/>
        <v>0</v>
      </c>
      <c r="AA169" s="287"/>
      <c r="AB169" s="290"/>
      <c r="AC169" s="302">
        <f t="shared" si="56"/>
        <v>3.9059198115865001E-6</v>
      </c>
      <c r="AD169" s="302">
        <f t="shared" si="56"/>
        <v>2.2950126918885871E-6</v>
      </c>
      <c r="AE169" s="302">
        <f t="shared" si="56"/>
        <v>2.4089041250618948E-7</v>
      </c>
      <c r="AF169" s="302">
        <f t="shared" si="56"/>
        <v>1.1009283595875274E-8</v>
      </c>
      <c r="AG169" s="302">
        <f t="shared" si="56"/>
        <v>7.8450471008295608E-7</v>
      </c>
      <c r="AH169" s="302">
        <f t="shared" si="56"/>
        <v>9.819694946067159E-9</v>
      </c>
      <c r="AI169" s="302">
        <f t="shared" si="56"/>
        <v>5.5065373771867598E-7</v>
      </c>
      <c r="AJ169" s="302">
        <f t="shared" si="56"/>
        <v>1.4029257144887453E-8</v>
      </c>
      <c r="AK169" s="302">
        <f t="shared" si="56"/>
        <v>0</v>
      </c>
      <c r="AL169" s="302">
        <f t="shared" si="56"/>
        <v>0</v>
      </c>
      <c r="AM169" s="302">
        <f t="shared" si="56"/>
        <v>0</v>
      </c>
    </row>
    <row r="170" spans="2:39" x14ac:dyDescent="0.3">
      <c r="D170" s="89" t="s">
        <v>73</v>
      </c>
      <c r="F170" s="287">
        <f t="shared" si="57"/>
        <v>1.0163424303755164E-4</v>
      </c>
      <c r="G170" s="287">
        <f t="shared" si="57"/>
        <v>0</v>
      </c>
      <c r="H170" s="287">
        <f t="shared" si="57"/>
        <v>0</v>
      </c>
      <c r="I170" s="287">
        <f t="shared" si="57"/>
        <v>0</v>
      </c>
      <c r="J170" s="287">
        <f t="shared" si="57"/>
        <v>0</v>
      </c>
      <c r="K170" s="287">
        <f t="shared" si="57"/>
        <v>0</v>
      </c>
      <c r="L170" s="287">
        <f t="shared" si="57"/>
        <v>0</v>
      </c>
      <c r="M170" s="287">
        <f t="shared" si="57"/>
        <v>0</v>
      </c>
      <c r="N170" s="287">
        <f t="shared" si="57"/>
        <v>1.0163424303755164E-4</v>
      </c>
      <c r="O170" s="287">
        <f t="shared" si="57"/>
        <v>0</v>
      </c>
      <c r="P170" s="287"/>
      <c r="Q170" s="287">
        <f t="shared" si="58"/>
        <v>1.3652296911459416E-4</v>
      </c>
      <c r="R170" s="287">
        <f t="shared" si="58"/>
        <v>0</v>
      </c>
      <c r="S170" s="287">
        <f t="shared" si="58"/>
        <v>0</v>
      </c>
      <c r="T170" s="287">
        <f t="shared" si="58"/>
        <v>0</v>
      </c>
      <c r="U170" s="287">
        <f t="shared" si="58"/>
        <v>0</v>
      </c>
      <c r="V170" s="287">
        <f t="shared" si="58"/>
        <v>0</v>
      </c>
      <c r="W170" s="287">
        <f t="shared" si="58"/>
        <v>0</v>
      </c>
      <c r="X170" s="287">
        <f t="shared" si="58"/>
        <v>0</v>
      </c>
      <c r="Y170" s="287">
        <f t="shared" si="58"/>
        <v>1.3652296911459416E-4</v>
      </c>
      <c r="Z170" s="287">
        <f t="shared" si="58"/>
        <v>0</v>
      </c>
      <c r="AA170" s="287"/>
      <c r="AB170" s="290"/>
      <c r="AC170" s="302">
        <f t="shared" si="56"/>
        <v>3.488872607704252E-5</v>
      </c>
      <c r="AD170" s="302">
        <f t="shared" si="56"/>
        <v>0</v>
      </c>
      <c r="AE170" s="302">
        <f t="shared" si="56"/>
        <v>0</v>
      </c>
      <c r="AF170" s="302">
        <f t="shared" si="56"/>
        <v>0</v>
      </c>
      <c r="AG170" s="302">
        <f t="shared" si="56"/>
        <v>0</v>
      </c>
      <c r="AH170" s="302">
        <f t="shared" si="56"/>
        <v>0</v>
      </c>
      <c r="AI170" s="302">
        <f t="shared" si="56"/>
        <v>0</v>
      </c>
      <c r="AJ170" s="302">
        <f t="shared" si="56"/>
        <v>0</v>
      </c>
      <c r="AK170" s="302">
        <f t="shared" si="56"/>
        <v>3.488872607704252E-5</v>
      </c>
      <c r="AL170" s="302">
        <f t="shared" si="56"/>
        <v>0</v>
      </c>
      <c r="AM170" s="302">
        <f t="shared" si="56"/>
        <v>0</v>
      </c>
    </row>
    <row r="171" spans="2:39" x14ac:dyDescent="0.3">
      <c r="D171" s="89" t="s">
        <v>75</v>
      </c>
      <c r="F171" s="287">
        <f t="shared" si="57"/>
        <v>-1.2002376897726208E-3</v>
      </c>
      <c r="G171" s="287">
        <f t="shared" si="57"/>
        <v>-7.8562655835412443E-4</v>
      </c>
      <c r="H171" s="287">
        <f t="shared" si="57"/>
        <v>-8.4304781921673566E-5</v>
      </c>
      <c r="I171" s="287">
        <f t="shared" si="57"/>
        <v>-3.5622258565126685E-6</v>
      </c>
      <c r="J171" s="287">
        <f t="shared" si="57"/>
        <v>-2.869933596230112E-4</v>
      </c>
      <c r="K171" s="287">
        <f t="shared" si="57"/>
        <v>-3.6121496549412768E-6</v>
      </c>
      <c r="L171" s="287">
        <f t="shared" si="57"/>
        <v>-3.3102671977758291E-5</v>
      </c>
      <c r="M171" s="287">
        <f t="shared" si="57"/>
        <v>-3.0360006348928437E-6</v>
      </c>
      <c r="N171" s="287">
        <f t="shared" si="57"/>
        <v>0</v>
      </c>
      <c r="O171" s="287">
        <f t="shared" si="57"/>
        <v>0</v>
      </c>
      <c r="P171" s="287"/>
      <c r="Q171" s="287">
        <f t="shared" si="58"/>
        <v>3.8921044324524701E-4</v>
      </c>
      <c r="R171" s="287">
        <f t="shared" si="58"/>
        <v>-59.444626912649255</v>
      </c>
      <c r="S171" s="287">
        <f t="shared" si="58"/>
        <v>0.86757736128492979</v>
      </c>
      <c r="T171" s="287">
        <f t="shared" si="58"/>
        <v>1.1451747370188059</v>
      </c>
      <c r="U171" s="287">
        <f t="shared" si="58"/>
        <v>36.957941597948775</v>
      </c>
      <c r="V171" s="287">
        <f t="shared" si="58"/>
        <v>1.3533872216779743</v>
      </c>
      <c r="W171" s="287">
        <f t="shared" si="58"/>
        <v>14.262622179866625</v>
      </c>
      <c r="X171" s="287">
        <f t="shared" si="58"/>
        <v>4.8583130252127376</v>
      </c>
      <c r="Y171" s="287">
        <f t="shared" si="58"/>
        <v>0</v>
      </c>
      <c r="Z171" s="287">
        <f t="shared" si="58"/>
        <v>0</v>
      </c>
      <c r="AA171" s="287"/>
      <c r="AB171" s="290"/>
      <c r="AC171" s="302">
        <f t="shared" si="56"/>
        <v>1.5894481330178678E-3</v>
      </c>
      <c r="AD171" s="302">
        <f t="shared" si="56"/>
        <v>-59.443841286090901</v>
      </c>
      <c r="AE171" s="302">
        <f t="shared" si="56"/>
        <v>0.86766166606685147</v>
      </c>
      <c r="AF171" s="302">
        <f t="shared" si="56"/>
        <v>1.1451782992446624</v>
      </c>
      <c r="AG171" s="302">
        <f t="shared" si="56"/>
        <v>36.958228591308398</v>
      </c>
      <c r="AH171" s="302">
        <f t="shared" si="56"/>
        <v>1.3533908338276293</v>
      </c>
      <c r="AI171" s="302">
        <f t="shared" si="56"/>
        <v>14.262655282538603</v>
      </c>
      <c r="AJ171" s="302">
        <f t="shared" si="56"/>
        <v>4.8583160612133724</v>
      </c>
      <c r="AK171" s="302">
        <f t="shared" si="56"/>
        <v>0</v>
      </c>
      <c r="AL171" s="302">
        <f t="shared" si="56"/>
        <v>0</v>
      </c>
      <c r="AM171" s="302">
        <f t="shared" si="56"/>
        <v>0</v>
      </c>
    </row>
    <row r="172" spans="2:39" ht="15" thickBot="1" x14ac:dyDescent="0.35">
      <c r="D172" s="278" t="s">
        <v>77</v>
      </c>
      <c r="F172" s="303">
        <f>SUM(F160:F171)</f>
        <v>7.921943531607667E-2</v>
      </c>
      <c r="G172" s="303">
        <f t="shared" ref="G172:O172" si="59">SUM(G160:G171)</f>
        <v>-17174.154260403026</v>
      </c>
      <c r="H172" s="303">
        <f t="shared" si="59"/>
        <v>250.64941054287482</v>
      </c>
      <c r="I172" s="303">
        <f t="shared" si="59"/>
        <v>330.85182563026075</v>
      </c>
      <c r="J172" s="303">
        <f t="shared" si="59"/>
        <v>10677.503577942109</v>
      </c>
      <c r="K172" s="303">
        <f t="shared" si="59"/>
        <v>391.00661522589695</v>
      </c>
      <c r="L172" s="303">
        <f t="shared" si="59"/>
        <v>4120.6089675132143</v>
      </c>
      <c r="M172" s="303">
        <f t="shared" si="59"/>
        <v>1403.6127175782663</v>
      </c>
      <c r="N172" s="303">
        <f t="shared" si="59"/>
        <v>1.0163424303755164E-4</v>
      </c>
      <c r="O172" s="303">
        <f t="shared" si="59"/>
        <v>9.5969153335317969E-7</v>
      </c>
      <c r="P172" s="305"/>
      <c r="Q172" s="303">
        <f>SUM(Q160:Q171)</f>
        <v>0.10641365886851872</v>
      </c>
      <c r="R172" s="303">
        <f t="shared" ref="R172:Z172" si="60">SUM(R160:R171)</f>
        <v>-22569.489281520859</v>
      </c>
      <c r="S172" s="303">
        <f t="shared" si="60"/>
        <v>329.39216066489098</v>
      </c>
      <c r="T172" s="303">
        <f t="shared" si="60"/>
        <v>434.7904033694374</v>
      </c>
      <c r="U172" s="303">
        <f t="shared" si="60"/>
        <v>14031.889358693672</v>
      </c>
      <c r="V172" s="303">
        <f t="shared" si="60"/>
        <v>513.84308605349759</v>
      </c>
      <c r="W172" s="303">
        <f t="shared" si="60"/>
        <v>5415.1166626128397</v>
      </c>
      <c r="X172" s="303">
        <f t="shared" si="60"/>
        <v>1844.5638859732746</v>
      </c>
      <c r="Y172" s="303">
        <f t="shared" si="60"/>
        <v>1.3652296911459416E-4</v>
      </c>
      <c r="Z172" s="303">
        <f t="shared" si="60"/>
        <v>1.2891314327134751E-6</v>
      </c>
      <c r="AA172" s="305"/>
      <c r="AB172" s="290"/>
      <c r="AC172" s="304">
        <f>SUM(AC160:AC171)</f>
        <v>2.7194223552442054E-2</v>
      </c>
      <c r="AD172" s="304">
        <f t="shared" ref="AD172:AM172" si="61">SUM(AD160:AD171)</f>
        <v>-5395.3350211178322</v>
      </c>
      <c r="AE172" s="304">
        <f t="shared" si="61"/>
        <v>78.742750122016162</v>
      </c>
      <c r="AF172" s="304">
        <f t="shared" si="61"/>
        <v>103.93857773917667</v>
      </c>
      <c r="AG172" s="304">
        <f t="shared" si="61"/>
        <v>3354.3857807515624</v>
      </c>
      <c r="AH172" s="304">
        <f t="shared" si="61"/>
        <v>122.83647082760071</v>
      </c>
      <c r="AI172" s="304">
        <f t="shared" si="61"/>
        <v>1294.5076950996256</v>
      </c>
      <c r="AJ172" s="304">
        <f t="shared" si="61"/>
        <v>440.95116839500844</v>
      </c>
      <c r="AK172" s="304">
        <f t="shared" si="61"/>
        <v>3.488872607704252E-5</v>
      </c>
      <c r="AL172" s="304">
        <f t="shared" si="61"/>
        <v>3.2943989936029539E-7</v>
      </c>
      <c r="AM172" s="304">
        <f t="shared" si="61"/>
        <v>0</v>
      </c>
    </row>
    <row r="173" spans="2:39" ht="15" thickTop="1" x14ac:dyDescent="0.3">
      <c r="F173" s="305"/>
      <c r="G173" s="305"/>
      <c r="H173" s="305"/>
      <c r="I173" s="305"/>
      <c r="J173" s="305"/>
      <c r="K173" s="305"/>
      <c r="L173" s="305"/>
      <c r="M173" s="305"/>
      <c r="N173" s="305"/>
      <c r="O173" s="305"/>
      <c r="Q173" s="305"/>
      <c r="R173" s="305"/>
      <c r="S173" s="305"/>
      <c r="T173" s="305"/>
      <c r="U173" s="305"/>
      <c r="V173" s="305"/>
      <c r="W173" s="305"/>
      <c r="X173" s="305"/>
      <c r="Y173" s="305"/>
      <c r="Z173" s="305"/>
      <c r="AB173" s="305">
        <f t="shared" ref="AB173" si="62">SUM(Q160:Q171)-Q172</f>
        <v>0</v>
      </c>
      <c r="AC173" s="305"/>
      <c r="AD173" s="305"/>
      <c r="AE173" s="305"/>
      <c r="AF173" s="305"/>
      <c r="AG173" s="305"/>
      <c r="AH173" s="305"/>
      <c r="AI173" s="305"/>
    </row>
    <row r="174" spans="2:39" x14ac:dyDescent="0.3">
      <c r="F174" s="305"/>
      <c r="G174" s="305"/>
      <c r="H174" s="305"/>
      <c r="I174" s="305"/>
      <c r="J174" s="305"/>
      <c r="K174" s="305"/>
      <c r="L174" s="305"/>
      <c r="M174" s="305"/>
      <c r="N174" s="305"/>
      <c r="O174" s="305"/>
      <c r="AB174" s="288"/>
    </row>
    <row r="176" spans="2:39" x14ac:dyDescent="0.3">
      <c r="B176" s="279"/>
      <c r="H176" s="308"/>
    </row>
    <row r="178" spans="1:26" x14ac:dyDescent="0.3">
      <c r="B178" s="279"/>
    </row>
    <row r="179" spans="1:26" x14ac:dyDescent="0.3">
      <c r="A179" s="277">
        <f>+A25+1</f>
        <v>3</v>
      </c>
      <c r="B179" s="278" t="s">
        <v>290</v>
      </c>
    </row>
    <row r="180" spans="1:26" x14ac:dyDescent="0.3">
      <c r="B180" s="279" t="s">
        <v>259</v>
      </c>
      <c r="C180" s="278" t="s">
        <v>291</v>
      </c>
      <c r="H180" s="309">
        <v>0.2</v>
      </c>
    </row>
    <row r="181" spans="1:26" x14ac:dyDescent="0.3">
      <c r="B181" s="279" t="s">
        <v>259</v>
      </c>
      <c r="C181" s="278" t="s">
        <v>292</v>
      </c>
    </row>
    <row r="182" spans="1:26" x14ac:dyDescent="0.3">
      <c r="G182" s="285" t="s">
        <v>293</v>
      </c>
      <c r="H182" s="285" t="s">
        <v>294</v>
      </c>
      <c r="I182" s="285" t="s">
        <v>295</v>
      </c>
      <c r="J182" s="285" t="s">
        <v>296</v>
      </c>
      <c r="K182" s="285" t="s">
        <v>297</v>
      </c>
      <c r="L182" s="285" t="s">
        <v>298</v>
      </c>
      <c r="M182" s="285" t="s">
        <v>299</v>
      </c>
      <c r="N182" s="285"/>
      <c r="O182" s="285"/>
      <c r="T182" s="285" t="s">
        <v>300</v>
      </c>
      <c r="U182" s="285" t="s">
        <v>300</v>
      </c>
      <c r="V182" s="285"/>
      <c r="W182" s="285" t="s">
        <v>301</v>
      </c>
      <c r="X182" s="285" t="s">
        <v>301</v>
      </c>
      <c r="Z182" s="285"/>
    </row>
    <row r="183" spans="1:26" ht="31.8" x14ac:dyDescent="0.3">
      <c r="C183" s="310" t="s">
        <v>302</v>
      </c>
      <c r="G183" s="311" t="s">
        <v>303</v>
      </c>
      <c r="H183" s="311" t="s">
        <v>304</v>
      </c>
      <c r="I183" s="311" t="s">
        <v>305</v>
      </c>
      <c r="J183" s="311" t="s">
        <v>306</v>
      </c>
      <c r="K183" s="311" t="s">
        <v>307</v>
      </c>
      <c r="L183" s="311" t="s">
        <v>308</v>
      </c>
      <c r="M183" s="311" t="s">
        <v>309</v>
      </c>
      <c r="N183" s="312" t="s">
        <v>310</v>
      </c>
      <c r="O183" s="313" t="s">
        <v>311</v>
      </c>
      <c r="P183" s="312" t="s">
        <v>312</v>
      </c>
      <c r="Q183" s="312" t="s">
        <v>313</v>
      </c>
      <c r="R183" s="312" t="s">
        <v>314</v>
      </c>
      <c r="S183" s="312" t="s">
        <v>315</v>
      </c>
      <c r="T183" s="312" t="s">
        <v>316</v>
      </c>
      <c r="U183" s="312" t="s">
        <v>317</v>
      </c>
      <c r="V183" s="312" t="s">
        <v>318</v>
      </c>
      <c r="W183" s="312" t="s">
        <v>316</v>
      </c>
      <c r="X183" s="312" t="s">
        <v>317</v>
      </c>
      <c r="Y183" s="312"/>
      <c r="Z183" s="312" t="s">
        <v>319</v>
      </c>
    </row>
    <row r="184" spans="1:26" x14ac:dyDescent="0.3">
      <c r="E184" s="314"/>
      <c r="F184" s="315">
        <f>'[7]Procedures &amp; Inputs'!C83</f>
        <v>2025</v>
      </c>
      <c r="G184" s="316">
        <f>'[7]Procedures &amp; Inputs'!D83</f>
        <v>41733320.799999997</v>
      </c>
      <c r="H184" s="316">
        <f>'[7]Procedures &amp; Inputs'!E83</f>
        <v>1684536.60286118</v>
      </c>
      <c r="I184" s="316">
        <f>'[7]Procedures &amp; Inputs'!F83</f>
        <v>135166.6</v>
      </c>
      <c r="J184" s="316">
        <f>'[7]Procedures &amp; Inputs'!G83</f>
        <v>39913617.597138815</v>
      </c>
      <c r="K184" s="316">
        <f>'[7]Procedures &amp; Inputs'!H83</f>
        <v>157033.19136465655</v>
      </c>
      <c r="L184" s="316">
        <f>'[7]Procedures &amp; Inputs'!I83</f>
        <v>119914.02033333333</v>
      </c>
      <c r="M184" s="316">
        <f>'[7]Procedures &amp; Inputs'!J83</f>
        <v>39641871.991407499</v>
      </c>
      <c r="N184" s="316">
        <f>'[7]Procedures &amp; Inputs'!K83</f>
        <v>-5201.6059666723013</v>
      </c>
      <c r="O184" s="301">
        <f>'[7]Procedures &amp; Inputs'!L83</f>
        <v>275.97233637367026</v>
      </c>
      <c r="P184" s="301">
        <f>+O184-N184</f>
        <v>5477.5783030459716</v>
      </c>
      <c r="Q184" s="301">
        <f>+'[8]Sales Forecast - Yr3'!$N$36-M184</f>
        <v>0</v>
      </c>
      <c r="R184" s="317"/>
      <c r="S184" s="316">
        <f>+M184+K184</f>
        <v>39798905.182772152</v>
      </c>
      <c r="T184" s="318"/>
      <c r="U184" s="318"/>
      <c r="V184" s="319">
        <f>+'[8]Revenue Detail'!$D$55/1000</f>
        <v>2721224.6589679285</v>
      </c>
      <c r="W184" s="320"/>
      <c r="X184" s="318"/>
      <c r="Y184" s="319"/>
      <c r="Z184" s="318"/>
    </row>
    <row r="185" spans="1:26" x14ac:dyDescent="0.3">
      <c r="F185" s="315">
        <f>'[7]Procedures &amp; Inputs'!C84</f>
        <v>2026</v>
      </c>
      <c r="G185" s="316">
        <f>'[7]Procedures &amp; Inputs'!D84</f>
        <v>41866435.200000003</v>
      </c>
      <c r="H185" s="316">
        <f>'[7]Procedures &amp; Inputs'!E84</f>
        <v>1689925.1028611797</v>
      </c>
      <c r="I185" s="316">
        <f>'[7]Procedures &amp; Inputs'!F84</f>
        <v>135166.6</v>
      </c>
      <c r="J185" s="316">
        <f>'[7]Procedures &amp; Inputs'!G84</f>
        <v>40041343.497138821</v>
      </c>
      <c r="K185" s="316">
        <f>'[7]Procedures &amp; Inputs'!H84</f>
        <v>237682.35024035894</v>
      </c>
      <c r="L185" s="316">
        <f>'[7]Procedures &amp; Inputs'!I84</f>
        <v>119914.02033333333</v>
      </c>
      <c r="M185" s="316">
        <f>'[7]Procedures &amp; Inputs'!J84</f>
        <v>39688948.760817446</v>
      </c>
      <c r="N185" s="316">
        <f>'[7]Procedures &amp; Inputs'!K84</f>
        <v>-5201.6342523172498</v>
      </c>
      <c r="O185" s="301">
        <f>'[7]Procedures &amp; Inputs'!L84</f>
        <v>275.97233637367026</v>
      </c>
      <c r="P185" s="301">
        <f>+O185-N185</f>
        <v>5477.60658869092</v>
      </c>
      <c r="Q185" s="301">
        <f>+'[8]Sales Forecast - Yr4'!$N$36-M185</f>
        <v>0</v>
      </c>
      <c r="R185" s="317"/>
      <c r="S185" s="316">
        <f>+M185+K185</f>
        <v>39926631.111057803</v>
      </c>
      <c r="T185" s="316">
        <f>+S185-S184</f>
        <v>127725.92828565091</v>
      </c>
      <c r="U185" s="321">
        <f>+T185/S184</f>
        <v>3.2092824588787921E-3</v>
      </c>
      <c r="V185" s="319">
        <f>('[8]Revenue Detail'!$E$55)/1000</f>
        <v>2732363.7920680931</v>
      </c>
      <c r="W185" s="320">
        <f>+V185-V184</f>
        <v>11139.133100164589</v>
      </c>
      <c r="X185" s="321">
        <f>+W185/V184</f>
        <v>4.0934264884948156E-3</v>
      </c>
      <c r="Y185" s="319"/>
      <c r="Z185" s="322">
        <f>+V185/S185*1000</f>
        <v>68.434619100917743</v>
      </c>
    </row>
    <row r="186" spans="1:26" x14ac:dyDescent="0.3">
      <c r="F186" s="315">
        <f>'[7]Procedures &amp; Inputs'!C85</f>
        <v>2027</v>
      </c>
      <c r="G186" s="316">
        <f>'[7]Procedures &amp; Inputs'!D85</f>
        <v>41898178.899999999</v>
      </c>
      <c r="H186" s="316">
        <f>'[7]Procedures &amp; Inputs'!E85</f>
        <v>1691225.3028611797</v>
      </c>
      <c r="I186" s="316">
        <f>'[7]Procedures &amp; Inputs'!F85</f>
        <v>135166.6</v>
      </c>
      <c r="J186" s="316">
        <f>'[7]Procedures &amp; Inputs'!G85</f>
        <v>40071786.997138821</v>
      </c>
      <c r="K186" s="316">
        <f>'[7]Procedures &amp; Inputs'!H85</f>
        <v>-512861.81424419914</v>
      </c>
      <c r="L186" s="316">
        <f>'[7]Procedures &amp; Inputs'!I85</f>
        <v>119542.02033333333</v>
      </c>
      <c r="M186" s="316">
        <f>'[7]Procedures &amp; Inputs'!J85</f>
        <v>40470309.2983182</v>
      </c>
      <c r="N186" s="316">
        <f>'[7]Procedures &amp; Inputs'!K85</f>
        <v>-5202.5072685107589</v>
      </c>
      <c r="O186" s="301">
        <f>'[7]Procedures &amp; Inputs'!L85</f>
        <v>275.11476395711361</v>
      </c>
      <c r="P186" s="301">
        <f>+O186-N186</f>
        <v>5477.6220324678725</v>
      </c>
      <c r="Q186" s="301">
        <f>+'[8]Sales Forecast - Yr5'!$N$36-M186</f>
        <v>0</v>
      </c>
      <c r="R186" s="317"/>
      <c r="S186" s="316">
        <f>+M186+K186</f>
        <v>39957447.484074004</v>
      </c>
      <c r="T186" s="316">
        <f>+S186-S185</f>
        <v>30816.37301620096</v>
      </c>
      <c r="U186" s="321">
        <f>+T186/S185</f>
        <v>7.7182502401677139E-4</v>
      </c>
      <c r="V186" s="319">
        <f>('[8]Revenue Detail'!$F$55)/1000</f>
        <v>2737941.4679969507</v>
      </c>
      <c r="W186" s="320">
        <f>+V186-V185</f>
        <v>5577.6759288576432</v>
      </c>
      <c r="X186" s="321">
        <f>+W186/V185</f>
        <v>2.0413372278791499E-3</v>
      </c>
      <c r="Y186" s="319"/>
      <c r="Z186" s="322">
        <f>+V186/S186*1000</f>
        <v>68.521430681682617</v>
      </c>
    </row>
    <row r="187" spans="1:26" x14ac:dyDescent="0.3">
      <c r="G187" s="314" t="s">
        <v>146</v>
      </c>
      <c r="H187" s="314" t="s">
        <v>146</v>
      </c>
      <c r="I187" s="314" t="s">
        <v>146</v>
      </c>
      <c r="J187" s="314" t="s">
        <v>146</v>
      </c>
      <c r="K187" s="314" t="s">
        <v>146</v>
      </c>
    </row>
    <row r="188" spans="1:26" x14ac:dyDescent="0.3">
      <c r="B188" s="279"/>
      <c r="G188" s="323"/>
      <c r="H188" s="314"/>
    </row>
    <row r="189" spans="1:26" x14ac:dyDescent="0.3">
      <c r="B189" s="279" t="s">
        <v>259</v>
      </c>
      <c r="C189" s="278" t="s">
        <v>320</v>
      </c>
      <c r="I189" s="324">
        <f>'[7]Procedures &amp; Inputs'!I101</f>
        <v>1.4762666495436375E-2</v>
      </c>
      <c r="J189" s="278" t="s">
        <v>321</v>
      </c>
      <c r="N189" s="325"/>
      <c r="O189" s="325"/>
      <c r="R189" s="325"/>
    </row>
    <row r="190" spans="1:26" x14ac:dyDescent="0.3">
      <c r="B190" s="279" t="s">
        <v>259</v>
      </c>
      <c r="C190" s="278" t="s">
        <v>322</v>
      </c>
      <c r="I190" s="324">
        <f>'[7]Procedures &amp; Inputs'!I102</f>
        <v>1.2531332350068623E-2</v>
      </c>
      <c r="J190" s="278" t="s">
        <v>321</v>
      </c>
      <c r="N190" s="325"/>
      <c r="O190" s="325"/>
      <c r="P190" s="302"/>
      <c r="R190" s="325"/>
    </row>
    <row r="191" spans="1:26" x14ac:dyDescent="0.3">
      <c r="B191" s="279"/>
      <c r="C191" s="310"/>
      <c r="I191" s="326"/>
    </row>
    <row r="192" spans="1:26" x14ac:dyDescent="0.3">
      <c r="B192" s="279"/>
      <c r="C192" s="310"/>
      <c r="I192" s="326"/>
    </row>
    <row r="193" spans="1:9" x14ac:dyDescent="0.3">
      <c r="A193" s="277">
        <f>+A179+1</f>
        <v>4</v>
      </c>
      <c r="B193" s="327" t="s">
        <v>323</v>
      </c>
      <c r="C193" s="310"/>
      <c r="I193" s="326"/>
    </row>
    <row r="194" spans="1:9" x14ac:dyDescent="0.3">
      <c r="B194" s="279" t="s">
        <v>259</v>
      </c>
      <c r="C194" s="310" t="s">
        <v>324</v>
      </c>
      <c r="I194" s="326"/>
    </row>
    <row r="195" spans="1:9" x14ac:dyDescent="0.3">
      <c r="B195" s="279" t="s">
        <v>259</v>
      </c>
      <c r="C195" s="310" t="s">
        <v>325</v>
      </c>
      <c r="I195" s="326"/>
    </row>
    <row r="196" spans="1:9" x14ac:dyDescent="0.3">
      <c r="B196" s="279" t="s">
        <v>259</v>
      </c>
      <c r="C196" s="310" t="s">
        <v>326</v>
      </c>
      <c r="I196" s="326"/>
    </row>
    <row r="197" spans="1:9" x14ac:dyDescent="0.3">
      <c r="B197" s="279"/>
      <c r="C197" s="310"/>
      <c r="I197" s="326"/>
    </row>
    <row r="198" spans="1:9" x14ac:dyDescent="0.3">
      <c r="B198" s="279"/>
      <c r="C198" s="328" t="s">
        <v>327</v>
      </c>
      <c r="D198" s="19"/>
      <c r="E198" s="19"/>
      <c r="F198" s="19"/>
      <c r="G198" s="19"/>
      <c r="H198" s="19"/>
      <c r="I198" s="326"/>
    </row>
    <row r="199" spans="1:9" x14ac:dyDescent="0.3">
      <c r="B199" s="279"/>
      <c r="C199" s="328"/>
      <c r="D199" s="329" t="str">
        <f>'[7]Procedures &amp; Inputs'!E88</f>
        <v>Year 3</v>
      </c>
      <c r="E199" s="329" t="str">
        <f>'[7]Procedures &amp; Inputs'!F88</f>
        <v>Year 4</v>
      </c>
      <c r="F199" s="329" t="str">
        <f>'[7]Procedures &amp; Inputs'!G88</f>
        <v>Year 5</v>
      </c>
      <c r="G199" s="19"/>
      <c r="H199" s="19"/>
      <c r="I199" s="326"/>
    </row>
    <row r="200" spans="1:9" x14ac:dyDescent="0.3">
      <c r="B200" s="279"/>
      <c r="C200" s="328"/>
      <c r="D200" s="330">
        <f>'[7]Procedures &amp; Inputs'!E89</f>
        <v>2025</v>
      </c>
      <c r="E200" s="330">
        <f>'[7]Procedures &amp; Inputs'!F89</f>
        <v>2026</v>
      </c>
      <c r="F200" s="330">
        <f>'[7]Procedures &amp; Inputs'!G89</f>
        <v>2027</v>
      </c>
      <c r="G200" s="19"/>
      <c r="H200" s="19"/>
      <c r="I200" s="326"/>
    </row>
    <row r="201" spans="1:9" x14ac:dyDescent="0.3">
      <c r="B201" s="279"/>
      <c r="C201" s="331" t="s">
        <v>328</v>
      </c>
      <c r="D201" s="332">
        <f>'[7]Procedures &amp; Inputs'!E90</f>
        <v>35834185.299999997</v>
      </c>
      <c r="E201" s="332">
        <f>'[7]Procedures &amp; Inputs'!F90</f>
        <v>35457243.899999991</v>
      </c>
      <c r="F201" s="332">
        <f>'[7]Procedures &amp; Inputs'!G90</f>
        <v>34630215.900000006</v>
      </c>
      <c r="G201" s="19"/>
      <c r="H201" s="19"/>
      <c r="I201" s="326"/>
    </row>
    <row r="202" spans="1:9" x14ac:dyDescent="0.3">
      <c r="B202" s="279"/>
      <c r="C202" s="331" t="s">
        <v>329</v>
      </c>
      <c r="D202" s="332">
        <f>'[7]Procedures &amp; Inputs'!E91</f>
        <v>1854584.1</v>
      </c>
      <c r="E202" s="332">
        <f>'[7]Procedures &amp; Inputs'!F91</f>
        <v>1862033.8</v>
      </c>
      <c r="F202" s="332">
        <f>'[7]Procedures &amp; Inputs'!G91</f>
        <v>2008084.5000000005</v>
      </c>
      <c r="G202" s="19"/>
      <c r="H202" s="19"/>
      <c r="I202" s="326"/>
    </row>
    <row r="203" spans="1:9" x14ac:dyDescent="0.3">
      <c r="B203" s="279"/>
      <c r="C203" s="331" t="s">
        <v>330</v>
      </c>
      <c r="D203" s="332">
        <f>'[7]Procedures &amp; Inputs'!E92</f>
        <v>503241.7</v>
      </c>
      <c r="E203" s="332">
        <f>'[7]Procedures &amp; Inputs'!F92</f>
        <v>352090.69999999995</v>
      </c>
      <c r="F203" s="332">
        <f>'[7]Procedures &amp; Inputs'!G92</f>
        <v>279166.40000000008</v>
      </c>
      <c r="G203" s="19"/>
      <c r="H203" s="19"/>
      <c r="I203" s="326"/>
    </row>
    <row r="204" spans="1:9" x14ac:dyDescent="0.3">
      <c r="B204" s="279"/>
      <c r="C204" s="331" t="s">
        <v>331</v>
      </c>
      <c r="D204" s="332">
        <f>'[7]Procedures &amp; Inputs'!E93</f>
        <v>4140760.6999999997</v>
      </c>
      <c r="E204" s="332">
        <f>'[7]Procedures &amp; Inputs'!F93</f>
        <v>4858900.4000000004</v>
      </c>
      <c r="F204" s="332">
        <f>'[7]Procedures &amp; Inputs'!G93</f>
        <v>5701169.4000000004</v>
      </c>
      <c r="G204" s="19"/>
      <c r="H204" s="19"/>
      <c r="I204" s="326"/>
    </row>
    <row r="205" spans="1:9" x14ac:dyDescent="0.3">
      <c r="B205" s="279"/>
      <c r="C205" s="331" t="s">
        <v>332</v>
      </c>
      <c r="D205" s="333">
        <f>'[7]Procedures &amp; Inputs'!E94</f>
        <v>42332771.800000004</v>
      </c>
      <c r="E205" s="333">
        <f>'[7]Procedures &amp; Inputs'!F94</f>
        <v>42530268.79999999</v>
      </c>
      <c r="F205" s="333">
        <f>'[7]Procedures &amp; Inputs'!G94</f>
        <v>42618636.200000003</v>
      </c>
      <c r="G205" s="19"/>
      <c r="H205" s="19"/>
      <c r="I205" s="326"/>
    </row>
    <row r="206" spans="1:9" x14ac:dyDescent="0.3">
      <c r="B206" s="279"/>
      <c r="C206" s="331" t="s">
        <v>333</v>
      </c>
      <c r="D206" s="332">
        <f>'[7]Procedures &amp; Inputs'!E95</f>
        <v>12646.9</v>
      </c>
      <c r="E206" s="332">
        <f>'[7]Procedures &amp; Inputs'!F95</f>
        <v>9180.7999999999993</v>
      </c>
      <c r="F206" s="332">
        <f>'[7]Procedures &amp; Inputs'!G95</f>
        <v>23155.200000000001</v>
      </c>
      <c r="G206" s="19"/>
      <c r="H206" s="19"/>
      <c r="I206" s="326"/>
    </row>
    <row r="207" spans="1:9" x14ac:dyDescent="0.3">
      <c r="B207" s="279"/>
      <c r="C207" s="334" t="s">
        <v>334</v>
      </c>
      <c r="D207" s="332">
        <f>'[7]Procedures &amp; Inputs'!E96</f>
        <v>-612125.19999999995</v>
      </c>
      <c r="E207" s="332">
        <f>'[7]Procedures &amp; Inputs'!F96</f>
        <v>-672990.3</v>
      </c>
      <c r="F207" s="332">
        <f>'[7]Procedures &amp; Inputs'!G96</f>
        <v>-743619.29999999993</v>
      </c>
      <c r="G207" s="19"/>
      <c r="H207" s="19"/>
      <c r="I207" s="326"/>
    </row>
    <row r="208" spans="1:9" x14ac:dyDescent="0.3">
      <c r="B208" s="279"/>
      <c r="C208" s="331" t="s">
        <v>335</v>
      </c>
      <c r="D208" s="333">
        <f>'[7]Procedures &amp; Inputs'!E97</f>
        <v>41733293.5</v>
      </c>
      <c r="E208" s="333">
        <f>'[7]Procedures &amp; Inputs'!F97</f>
        <v>41866459.29999999</v>
      </c>
      <c r="F208" s="333">
        <f>'[7]Procedures &amp; Inputs'!G97</f>
        <v>41898172.100000009</v>
      </c>
      <c r="G208" s="19"/>
      <c r="H208" s="19"/>
      <c r="I208" s="326"/>
    </row>
    <row r="209" spans="1:63" x14ac:dyDescent="0.3">
      <c r="B209" s="279"/>
      <c r="C209" s="331" t="s">
        <v>336</v>
      </c>
      <c r="D209" s="332">
        <f>'[7]Procedures &amp; Inputs'!E98</f>
        <v>41733320.799999997</v>
      </c>
      <c r="E209" s="332">
        <f>'[7]Procedures &amp; Inputs'!F98</f>
        <v>41866435.200000003</v>
      </c>
      <c r="F209" s="332">
        <f>'[7]Procedures &amp; Inputs'!G98</f>
        <v>41898178.899999999</v>
      </c>
      <c r="G209" s="19"/>
      <c r="H209" s="19"/>
      <c r="I209" s="326"/>
    </row>
    <row r="210" spans="1:63" x14ac:dyDescent="0.3">
      <c r="B210" s="279"/>
      <c r="C210" s="331" t="s">
        <v>337</v>
      </c>
      <c r="D210" s="332">
        <f>+D208-D209</f>
        <v>-27.299999997019768</v>
      </c>
      <c r="E210" s="332">
        <f>+E208-E209</f>
        <v>24.099999986588955</v>
      </c>
      <c r="F210" s="332">
        <f>+F208-F209</f>
        <v>-6.7999999895691872</v>
      </c>
      <c r="G210" s="19"/>
      <c r="H210" s="19"/>
      <c r="I210" s="326"/>
    </row>
    <row r="211" spans="1:63" x14ac:dyDescent="0.3">
      <c r="B211" s="279"/>
      <c r="G211" s="19"/>
      <c r="H211" s="19"/>
    </row>
    <row r="212" spans="1:63" x14ac:dyDescent="0.3">
      <c r="A212" s="277">
        <f>+A193+1</f>
        <v>5</v>
      </c>
      <c r="B212" s="327" t="s">
        <v>338</v>
      </c>
      <c r="G212" s="326"/>
      <c r="H212" s="314"/>
    </row>
    <row r="213" spans="1:63" x14ac:dyDescent="0.3">
      <c r="B213" s="279" t="s">
        <v>259</v>
      </c>
      <c r="C213" s="335" t="s">
        <v>339</v>
      </c>
      <c r="G213" s="326"/>
      <c r="H213" s="314"/>
    </row>
    <row r="214" spans="1:63" ht="25.35" customHeight="1" x14ac:dyDescent="0.3">
      <c r="B214" s="279"/>
      <c r="C214" s="336" t="s">
        <v>340</v>
      </c>
      <c r="D214" s="337" t="str">
        <f>VLOOKUP($C214,$C$216:$L$216,2)</f>
        <v>12 CP and 1/13 AD</v>
      </c>
      <c r="E214" s="338"/>
      <c r="F214" s="338" t="str">
        <f>VLOOKUP($C214,$C$216:$L$216,4)</f>
        <v>12/13 of 12 CP
12/13 * (2)</v>
      </c>
      <c r="G214" s="338"/>
      <c r="H214" s="338" t="str">
        <f>VLOOKUP($C214,$C$216:$L$216,6)</f>
        <v>1/13 of AVG DEMAND
1/13 * (4)</v>
      </c>
      <c r="I214" s="338"/>
      <c r="J214" s="338"/>
      <c r="K214" s="339">
        <f>VLOOKUP($C214,$C$216:$L$216,9)</f>
        <v>0.92307692307692313</v>
      </c>
      <c r="L214" s="340">
        <f>VLOOKUP($C214,$C$216:$L$216,10)</f>
        <v>7.6923076923076872E-2</v>
      </c>
    </row>
    <row r="215" spans="1:63" x14ac:dyDescent="0.3">
      <c r="B215" s="327"/>
      <c r="G215" s="326"/>
      <c r="H215" s="314"/>
    </row>
    <row r="216" spans="1:63" ht="41.4" x14ac:dyDescent="0.3">
      <c r="B216" s="279"/>
      <c r="C216" s="341" t="s">
        <v>341</v>
      </c>
      <c r="D216" s="342" t="s">
        <v>342</v>
      </c>
      <c r="E216" s="284"/>
      <c r="F216" s="343" t="s">
        <v>343</v>
      </c>
      <c r="G216" s="284"/>
      <c r="H216" s="344" t="s">
        <v>344</v>
      </c>
      <c r="I216" s="284"/>
      <c r="J216" s="284"/>
      <c r="K216" s="345">
        <f>12/13</f>
        <v>0.92307692307692313</v>
      </c>
      <c r="L216" s="345">
        <f>1-K216</f>
        <v>7.6923076923076872E-2</v>
      </c>
    </row>
    <row r="217" spans="1:63" ht="27.6" x14ac:dyDescent="0.3">
      <c r="B217" s="279"/>
      <c r="C217" s="341" t="s">
        <v>340</v>
      </c>
      <c r="D217" s="342" t="s">
        <v>345</v>
      </c>
      <c r="E217" s="284"/>
      <c r="F217" s="343" t="s">
        <v>346</v>
      </c>
      <c r="G217" s="284"/>
      <c r="H217" s="344" t="s">
        <v>347</v>
      </c>
      <c r="I217" s="284"/>
      <c r="J217" s="284"/>
      <c r="K217" s="345">
        <v>0.75</v>
      </c>
      <c r="L217" s="345">
        <v>0.25</v>
      </c>
    </row>
    <row r="218" spans="1:63" x14ac:dyDescent="0.3">
      <c r="B218" s="279"/>
      <c r="C218" s="346"/>
      <c r="D218" s="346"/>
      <c r="F218" s="347"/>
      <c r="G218" s="347"/>
      <c r="H218" s="314"/>
      <c r="I218" s="347"/>
      <c r="J218" s="347"/>
      <c r="M218" s="347"/>
      <c r="N218" s="347"/>
      <c r="O218" s="347"/>
      <c r="R218" s="347"/>
      <c r="S218" s="347"/>
    </row>
    <row r="219" spans="1:63" x14ac:dyDescent="0.3">
      <c r="F219" s="287"/>
      <c r="G219" s="287"/>
      <c r="H219" s="287"/>
      <c r="BD219" s="287"/>
      <c r="BF219" s="314"/>
      <c r="BK219" s="287"/>
    </row>
    <row r="220" spans="1:63" x14ac:dyDescent="0.3">
      <c r="BD220" s="287"/>
      <c r="BF220" s="314"/>
      <c r="BK220" s="287"/>
    </row>
    <row r="221" spans="1:63" x14ac:dyDescent="0.3">
      <c r="BD221" s="287"/>
      <c r="BF221" s="314"/>
      <c r="BK221" s="287"/>
    </row>
    <row r="222" spans="1:63" x14ac:dyDescent="0.3">
      <c r="BD222" s="287"/>
      <c r="BF222" s="314"/>
      <c r="BK222" s="287"/>
    </row>
    <row r="223" spans="1:63" x14ac:dyDescent="0.3">
      <c r="BD223" s="287"/>
      <c r="BF223" s="314"/>
      <c r="BK223" s="287"/>
    </row>
    <row r="224" spans="1:63" x14ac:dyDescent="0.3">
      <c r="BD224" s="287"/>
      <c r="BF224" s="314"/>
      <c r="BK224" s="287"/>
    </row>
    <row r="225" spans="56:63" x14ac:dyDescent="0.3">
      <c r="BD225" s="287"/>
      <c r="BF225" s="314"/>
      <c r="BK225" s="287"/>
    </row>
    <row r="226" spans="56:63" x14ac:dyDescent="0.3">
      <c r="BD226" s="287"/>
      <c r="BF226" s="314"/>
      <c r="BK226" s="287"/>
    </row>
    <row r="227" spans="56:63" x14ac:dyDescent="0.3">
      <c r="BD227" s="287"/>
      <c r="BF227" s="314"/>
      <c r="BK227" s="287"/>
    </row>
    <row r="228" spans="56:63" x14ac:dyDescent="0.3">
      <c r="BD228" s="287"/>
      <c r="BF228" s="314"/>
      <c r="BK228" s="287"/>
    </row>
    <row r="229" spans="56:63" x14ac:dyDescent="0.3">
      <c r="BD229" s="287"/>
      <c r="BF229" s="314"/>
      <c r="BK229" s="287"/>
    </row>
    <row r="230" spans="56:63" x14ac:dyDescent="0.3">
      <c r="BD230" s="287"/>
      <c r="BF230" s="314"/>
      <c r="BK230" s="287"/>
    </row>
    <row r="231" spans="56:63" x14ac:dyDescent="0.3">
      <c r="BD231" s="287"/>
      <c r="BF231" s="314"/>
      <c r="BK231" s="287"/>
    </row>
    <row r="232" spans="56:63" x14ac:dyDescent="0.3">
      <c r="BD232" s="287"/>
      <c r="BF232" s="314"/>
      <c r="BK232" s="287"/>
    </row>
    <row r="233" spans="56:63" x14ac:dyDescent="0.3">
      <c r="BD233" s="287"/>
      <c r="BF233" s="314"/>
      <c r="BK233" s="287"/>
    </row>
    <row r="234" spans="56:63" x14ac:dyDescent="0.3">
      <c r="BF234" s="314"/>
      <c r="BK234" s="287"/>
    </row>
    <row r="235" spans="56:63" x14ac:dyDescent="0.3">
      <c r="BF235" s="314"/>
      <c r="BK235" s="287"/>
    </row>
    <row r="236" spans="56:63" x14ac:dyDescent="0.3">
      <c r="BF236" s="314"/>
      <c r="BK236" s="287"/>
    </row>
    <row r="237" spans="56:63" x14ac:dyDescent="0.3">
      <c r="BK237" s="287"/>
    </row>
    <row r="238" spans="56:63" x14ac:dyDescent="0.3">
      <c r="BK238" s="287"/>
    </row>
    <row r="239" spans="56:63" x14ac:dyDescent="0.3">
      <c r="BK239" s="287"/>
    </row>
    <row r="240" spans="56:63" x14ac:dyDescent="0.3">
      <c r="BK240" s="287"/>
    </row>
    <row r="241" spans="63:63" x14ac:dyDescent="0.3">
      <c r="BK241" s="287"/>
    </row>
    <row r="242" spans="63:63" x14ac:dyDescent="0.3">
      <c r="BK242" s="287"/>
    </row>
    <row r="243" spans="63:63" x14ac:dyDescent="0.3">
      <c r="BK243" s="287"/>
    </row>
    <row r="244" spans="63:63" x14ac:dyDescent="0.3">
      <c r="BK244" s="287"/>
    </row>
    <row r="245" spans="63:63" x14ac:dyDescent="0.3">
      <c r="BK245" s="287"/>
    </row>
    <row r="246" spans="63:63" x14ac:dyDescent="0.3">
      <c r="BK246" s="287"/>
    </row>
    <row r="247" spans="63:63" x14ac:dyDescent="0.3">
      <c r="BK247" s="287"/>
    </row>
    <row r="248" spans="63:63" x14ac:dyDescent="0.3">
      <c r="BK248" s="287"/>
    </row>
    <row r="249" spans="63:63" x14ac:dyDescent="0.3">
      <c r="BK249" s="287"/>
    </row>
    <row r="250" spans="63:63" x14ac:dyDescent="0.3">
      <c r="BK250" s="287"/>
    </row>
    <row r="251" spans="63:63" x14ac:dyDescent="0.3">
      <c r="BK251" s="287"/>
    </row>
    <row r="252" spans="63:63" x14ac:dyDescent="0.3">
      <c r="BK252" s="287"/>
    </row>
    <row r="253" spans="63:63" x14ac:dyDescent="0.3">
      <c r="BK253" s="287"/>
    </row>
    <row r="254" spans="63:63" x14ac:dyDescent="0.3">
      <c r="BK254" s="287"/>
    </row>
    <row r="255" spans="63:63" x14ac:dyDescent="0.3">
      <c r="BK255" s="287"/>
    </row>
    <row r="256" spans="63:63" x14ac:dyDescent="0.3">
      <c r="BK256" s="287"/>
    </row>
    <row r="257" spans="63:63" x14ac:dyDescent="0.3">
      <c r="BK257" s="287"/>
    </row>
    <row r="258" spans="63:63" x14ac:dyDescent="0.3">
      <c r="BK258" s="287"/>
    </row>
    <row r="259" spans="63:63" x14ac:dyDescent="0.3">
      <c r="BK259" s="287"/>
    </row>
    <row r="260" spans="63:63" x14ac:dyDescent="0.3">
      <c r="BK260" s="287"/>
    </row>
    <row r="261" spans="63:63" x14ac:dyDescent="0.3">
      <c r="BK261" s="287"/>
    </row>
    <row r="262" spans="63:63" x14ac:dyDescent="0.3">
      <c r="BK262" s="287"/>
    </row>
    <row r="263" spans="63:63" x14ac:dyDescent="0.3">
      <c r="BK263" s="287"/>
    </row>
    <row r="264" spans="63:63" x14ac:dyDescent="0.3">
      <c r="BK264" s="287"/>
    </row>
    <row r="265" spans="63:63" x14ac:dyDescent="0.3">
      <c r="BK265" s="287"/>
    </row>
    <row r="266" spans="63:63" x14ac:dyDescent="0.3">
      <c r="BK266" s="287"/>
    </row>
    <row r="267" spans="63:63" x14ac:dyDescent="0.3">
      <c r="BK267" s="287"/>
    </row>
    <row r="268" spans="63:63" x14ac:dyDescent="0.3">
      <c r="BK268" s="287"/>
    </row>
    <row r="269" spans="63:63" x14ac:dyDescent="0.3">
      <c r="BK269" s="287"/>
    </row>
    <row r="270" spans="63:63" x14ac:dyDescent="0.3">
      <c r="BK270" s="287"/>
    </row>
    <row r="271" spans="63:63" x14ac:dyDescent="0.3">
      <c r="BK271" s="287"/>
    </row>
    <row r="272" spans="63:63" x14ac:dyDescent="0.3">
      <c r="BK272" s="287"/>
    </row>
  </sheetData>
  <mergeCells count="3">
    <mergeCell ref="M27:N27"/>
    <mergeCell ref="M77:N77"/>
    <mergeCell ref="M127:N127"/>
  </mergeCells>
  <dataValidations count="1">
    <dataValidation type="list" allowBlank="1" showInputMessage="1" showErrorMessage="1" sqref="C214" xr:uid="{2F649CDF-1090-4ED3-AEAF-D13F34B364F8}">
      <formula1>$C$216:$C$217</formula1>
    </dataValidation>
  </dataValidations>
  <pageMargins left="0.3" right="0.3" top="0.25" bottom="0.25" header="0.05" footer="0.05"/>
  <pageSetup paperSize="5" scale="80" orientation="landscape" r:id="rId1"/>
  <headerFooter>
    <oddHeader>&amp;RDEF’s Response to OPC POD 1 (1-26)
Q7
Page &amp;P of &amp;N</oddHeader>
    <oddFooter xml:space="preserve">&amp;R&amp;9&amp;Z&amp;F "&amp;A" &amp;D &amp;[Time
20240025-OPCPOD1-00004288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BC9E3-B2DD-4E7F-ACB6-3D09ECB9CA1A}">
  <dimension ref="A2:O55"/>
  <sheetViews>
    <sheetView tabSelected="1" view="pageBreakPreview" zoomScale="60" zoomScaleNormal="100" workbookViewId="0">
      <selection activeCell="G65" sqref="G65"/>
    </sheetView>
  </sheetViews>
  <sheetFormatPr defaultColWidth="8.81640625" defaultRowHeight="13.8" x14ac:dyDescent="0.3"/>
  <cols>
    <col min="1" max="1" width="8.08984375" style="4" customWidth="1"/>
    <col min="2" max="2" width="8.81640625" style="4"/>
    <col min="3" max="3" width="8.54296875" style="4" customWidth="1"/>
    <col min="4" max="4" width="12.453125" style="4" customWidth="1"/>
    <col min="5" max="11" width="9.81640625" style="4" customWidth="1"/>
    <col min="12" max="12" width="7.81640625" style="4" customWidth="1"/>
    <col min="13" max="14" width="8.81640625" style="4"/>
    <col min="15" max="15" width="13.81640625" style="4" customWidth="1"/>
    <col min="16" max="16384" width="8.81640625" style="4"/>
  </cols>
  <sheetData>
    <row r="2" spans="1:15" x14ac:dyDescent="0.3">
      <c r="A2" s="1" t="s">
        <v>0</v>
      </c>
      <c r="B2" s="2"/>
      <c r="C2" s="3"/>
      <c r="D2" s="3"/>
      <c r="E2" s="3"/>
      <c r="F2" s="2" t="s">
        <v>1</v>
      </c>
      <c r="G2" s="3"/>
      <c r="I2" s="5"/>
      <c r="J2" s="5"/>
      <c r="K2" s="5"/>
      <c r="L2" s="5"/>
      <c r="M2" s="3"/>
      <c r="O2" s="6" t="s">
        <v>2</v>
      </c>
    </row>
    <row r="3" spans="1:15" x14ac:dyDescent="0.3">
      <c r="A3" s="7"/>
      <c r="B3" s="8"/>
      <c r="C3" s="8"/>
      <c r="D3" s="8"/>
      <c r="E3" s="8"/>
      <c r="F3" s="8"/>
      <c r="G3" s="8"/>
      <c r="H3" s="8"/>
      <c r="I3" s="8"/>
      <c r="J3" s="8"/>
      <c r="K3" s="8"/>
      <c r="L3" s="8"/>
      <c r="M3" s="8"/>
      <c r="N3" s="8"/>
      <c r="O3" s="8"/>
    </row>
    <row r="4" spans="1:15" x14ac:dyDescent="0.3">
      <c r="A4" s="9" t="s">
        <v>3</v>
      </c>
      <c r="B4" s="3"/>
      <c r="C4" s="3"/>
      <c r="D4" s="6" t="s">
        <v>4</v>
      </c>
      <c r="E4" s="2" t="s">
        <v>5</v>
      </c>
      <c r="F4" s="3"/>
      <c r="G4" s="5"/>
      <c r="H4" s="5"/>
      <c r="I4" s="5"/>
      <c r="J4" s="5"/>
      <c r="K4" s="5"/>
      <c r="L4" s="5"/>
      <c r="M4" s="9" t="s">
        <v>6</v>
      </c>
      <c r="N4" s="3"/>
      <c r="O4" s="3"/>
    </row>
    <row r="5" spans="1:15" x14ac:dyDescent="0.3">
      <c r="A5" s="10"/>
      <c r="B5" s="3"/>
      <c r="C5" s="3"/>
      <c r="D5" s="3"/>
      <c r="E5" s="2" t="s">
        <v>7</v>
      </c>
      <c r="F5" s="5"/>
      <c r="G5" s="5"/>
      <c r="H5" s="5"/>
      <c r="I5" s="5"/>
      <c r="J5" s="5"/>
      <c r="K5" s="5"/>
      <c r="L5" s="5"/>
      <c r="M5" s="10" t="s">
        <v>251</v>
      </c>
      <c r="N5" s="3"/>
      <c r="O5" s="3"/>
    </row>
    <row r="6" spans="1:15" x14ac:dyDescent="0.3">
      <c r="A6" s="11" t="s">
        <v>8</v>
      </c>
      <c r="B6" s="3"/>
      <c r="C6" s="3"/>
      <c r="D6" s="3"/>
      <c r="E6" s="1" t="s">
        <v>9</v>
      </c>
      <c r="F6" s="5"/>
      <c r="G6" s="5"/>
      <c r="H6" s="5"/>
      <c r="I6" s="5"/>
      <c r="J6" s="5"/>
      <c r="K6" s="5"/>
      <c r="L6" s="5"/>
      <c r="M6" s="10" t="s">
        <v>252</v>
      </c>
      <c r="N6" s="3"/>
      <c r="O6" s="3"/>
    </row>
    <row r="7" spans="1:15" x14ac:dyDescent="0.3">
      <c r="A7" s="12"/>
      <c r="B7" s="3"/>
      <c r="C7" s="3"/>
      <c r="D7" s="3"/>
      <c r="E7" s="1" t="s">
        <v>10</v>
      </c>
      <c r="F7" s="5"/>
      <c r="G7" s="5"/>
      <c r="H7" s="5"/>
      <c r="I7" s="5"/>
      <c r="J7" s="5"/>
      <c r="K7" s="5"/>
      <c r="L7" s="5"/>
      <c r="M7" s="10" t="s">
        <v>253</v>
      </c>
      <c r="N7" s="3"/>
      <c r="O7" s="3"/>
    </row>
    <row r="8" spans="1:15" x14ac:dyDescent="0.3">
      <c r="A8" s="11" t="s">
        <v>255</v>
      </c>
      <c r="B8" s="13"/>
      <c r="C8" s="3"/>
      <c r="D8" s="3"/>
      <c r="E8" s="1" t="s">
        <v>11</v>
      </c>
      <c r="F8" s="5"/>
      <c r="G8" s="5"/>
      <c r="H8" s="5"/>
      <c r="I8" s="5"/>
      <c r="J8" s="5"/>
      <c r="K8" s="5"/>
      <c r="L8" s="5"/>
      <c r="M8" s="9" t="s">
        <v>254</v>
      </c>
      <c r="N8" s="3"/>
      <c r="O8" s="3"/>
    </row>
    <row r="9" spans="1:15" x14ac:dyDescent="0.3">
      <c r="A9" s="1"/>
      <c r="B9" s="14"/>
      <c r="C9" s="3"/>
      <c r="D9" s="3"/>
      <c r="E9" s="2" t="s">
        <v>12</v>
      </c>
      <c r="F9" s="5"/>
      <c r="G9" s="5"/>
      <c r="H9" s="5"/>
      <c r="I9" s="5"/>
      <c r="J9" s="5"/>
      <c r="K9" s="5"/>
      <c r="L9" s="5"/>
      <c r="M9" s="3"/>
      <c r="N9" s="3"/>
      <c r="O9" s="3"/>
    </row>
    <row r="10" spans="1:15" x14ac:dyDescent="0.3">
      <c r="A10" s="1"/>
      <c r="B10" s="14"/>
      <c r="C10" s="3"/>
      <c r="D10" s="3"/>
      <c r="E10" s="2" t="s">
        <v>13</v>
      </c>
      <c r="F10" s="5"/>
      <c r="G10" s="5"/>
      <c r="H10" s="5"/>
      <c r="I10" s="5"/>
      <c r="J10" s="5"/>
      <c r="K10" s="5"/>
      <c r="L10" s="5"/>
      <c r="M10" s="3"/>
      <c r="N10" s="3"/>
      <c r="O10" s="3"/>
    </row>
    <row r="11" spans="1:15" x14ac:dyDescent="0.3">
      <c r="A11" s="1"/>
      <c r="B11" s="14"/>
      <c r="C11" s="3"/>
      <c r="D11" s="3"/>
      <c r="E11" s="2" t="s">
        <v>14</v>
      </c>
      <c r="F11" s="5"/>
      <c r="G11" s="5"/>
      <c r="H11" s="5"/>
      <c r="I11" s="5"/>
      <c r="J11" s="5"/>
      <c r="K11" s="5"/>
      <c r="L11" s="5"/>
      <c r="M11" s="3"/>
      <c r="N11" s="3"/>
      <c r="O11" s="3"/>
    </row>
    <row r="12" spans="1:15" x14ac:dyDescent="0.3">
      <c r="A12" s="1"/>
      <c r="B12" s="14"/>
      <c r="C12" s="3"/>
      <c r="D12" s="3"/>
      <c r="E12" s="2" t="s">
        <v>15</v>
      </c>
      <c r="F12" s="5"/>
      <c r="G12" s="5"/>
      <c r="H12" s="5"/>
      <c r="I12" s="5"/>
      <c r="J12" s="5"/>
      <c r="K12" s="5"/>
      <c r="L12" s="5"/>
      <c r="M12" s="3"/>
      <c r="N12" s="3"/>
      <c r="O12" s="3"/>
    </row>
    <row r="13" spans="1:15" x14ac:dyDescent="0.3">
      <c r="A13" s="15"/>
      <c r="B13" s="15"/>
      <c r="C13" s="15"/>
      <c r="D13" s="15"/>
      <c r="E13" s="15"/>
      <c r="F13" s="15"/>
      <c r="G13" s="15"/>
      <c r="H13" s="15"/>
      <c r="I13" s="15"/>
      <c r="J13" s="15"/>
      <c r="K13" s="15"/>
      <c r="L13" s="15"/>
      <c r="M13" s="15"/>
      <c r="N13" s="15"/>
      <c r="O13" s="15"/>
    </row>
    <row r="14" spans="1:15" s="19" customFormat="1" x14ac:dyDescent="0.3">
      <c r="A14" s="16" t="s">
        <v>16</v>
      </c>
      <c r="B14" s="17"/>
      <c r="C14" s="18"/>
      <c r="D14" s="18"/>
      <c r="E14" s="18"/>
      <c r="F14" s="17"/>
      <c r="G14" s="17"/>
      <c r="H14" s="18"/>
      <c r="I14" s="18"/>
      <c r="J14" s="18"/>
      <c r="K14" s="18"/>
      <c r="L14" s="18"/>
      <c r="M14" s="18"/>
      <c r="N14" s="18"/>
      <c r="O14" s="18"/>
    </row>
    <row r="15" spans="1:15" s="19" customFormat="1" x14ac:dyDescent="0.3">
      <c r="A15" s="20">
        <v>1</v>
      </c>
      <c r="C15" s="21"/>
      <c r="D15" s="21"/>
      <c r="E15" s="21"/>
      <c r="H15" s="21"/>
      <c r="I15" s="21"/>
      <c r="J15" s="21"/>
    </row>
    <row r="16" spans="1:15" s="19" customFormat="1" x14ac:dyDescent="0.3">
      <c r="A16" s="20">
        <f>+A15+1</f>
        <v>2</v>
      </c>
      <c r="C16" s="21"/>
      <c r="D16" s="21"/>
      <c r="E16" s="21"/>
      <c r="H16" s="21"/>
      <c r="I16" s="21"/>
      <c r="J16" s="21"/>
    </row>
    <row r="17" spans="1:7" x14ac:dyDescent="0.3">
      <c r="A17" s="20">
        <f t="shared" ref="A17:A53" si="0">+A16+1</f>
        <v>3</v>
      </c>
      <c r="E17" s="4" t="s">
        <v>17</v>
      </c>
    </row>
    <row r="18" spans="1:7" ht="16.350000000000001" customHeight="1" x14ac:dyDescent="0.3">
      <c r="A18" s="20">
        <f t="shared" si="0"/>
        <v>4</v>
      </c>
    </row>
    <row r="19" spans="1:7" x14ac:dyDescent="0.3">
      <c r="A19" s="20">
        <f t="shared" si="0"/>
        <v>5</v>
      </c>
      <c r="D19" s="22">
        <v>2</v>
      </c>
      <c r="E19" s="4" t="str">
        <f>"E-6a Page "&amp;D19&amp;" of "&amp;$D$33</f>
        <v>E-6a Page 2 of 13</v>
      </c>
      <c r="G19" s="4" t="s">
        <v>18</v>
      </c>
    </row>
    <row r="20" spans="1:7" x14ac:dyDescent="0.3">
      <c r="A20" s="20">
        <f t="shared" si="0"/>
        <v>6</v>
      </c>
      <c r="D20" s="22">
        <f>+D19+1</f>
        <v>3</v>
      </c>
      <c r="E20" s="4" t="str">
        <f t="shared" ref="E20:E21" si="1">"E-6a Page "&amp;D20&amp;" of "&amp;$D$33</f>
        <v>E-6a Page 3 of 13</v>
      </c>
      <c r="G20" s="4" t="s">
        <v>19</v>
      </c>
    </row>
    <row r="21" spans="1:7" x14ac:dyDescent="0.3">
      <c r="A21" s="20">
        <f t="shared" si="0"/>
        <v>7</v>
      </c>
      <c r="D21" s="22">
        <f>+D20+1</f>
        <v>4</v>
      </c>
      <c r="E21" s="4" t="str">
        <f t="shared" si="1"/>
        <v>E-6a Page 4 of 13</v>
      </c>
      <c r="G21" s="4" t="s">
        <v>20</v>
      </c>
    </row>
    <row r="22" spans="1:7" x14ac:dyDescent="0.3">
      <c r="A22" s="20">
        <f t="shared" si="0"/>
        <v>8</v>
      </c>
      <c r="D22" s="22"/>
    </row>
    <row r="23" spans="1:7" x14ac:dyDescent="0.3">
      <c r="A23" s="20">
        <f t="shared" si="0"/>
        <v>9</v>
      </c>
      <c r="D23" s="22">
        <f>+D21+1</f>
        <v>5</v>
      </c>
      <c r="E23" s="4" t="str">
        <f t="shared" ref="E23:E25" si="2">"E-6a Page "&amp;D23&amp;" of "&amp;$D$33</f>
        <v>E-6a Page 5 of 13</v>
      </c>
      <c r="G23" s="4" t="s">
        <v>21</v>
      </c>
    </row>
    <row r="24" spans="1:7" x14ac:dyDescent="0.3">
      <c r="A24" s="20">
        <f t="shared" si="0"/>
        <v>10</v>
      </c>
      <c r="D24" s="22">
        <f>+D23+1</f>
        <v>6</v>
      </c>
      <c r="E24" s="4" t="str">
        <f t="shared" si="2"/>
        <v>E-6a Page 6 of 13</v>
      </c>
      <c r="G24" s="4" t="s">
        <v>22</v>
      </c>
    </row>
    <row r="25" spans="1:7" x14ac:dyDescent="0.3">
      <c r="A25" s="20">
        <f t="shared" si="0"/>
        <v>11</v>
      </c>
      <c r="D25" s="22">
        <f>+D24+1</f>
        <v>7</v>
      </c>
      <c r="E25" s="4" t="str">
        <f t="shared" si="2"/>
        <v>E-6a Page 7 of 13</v>
      </c>
      <c r="G25" s="4" t="s">
        <v>23</v>
      </c>
    </row>
    <row r="26" spans="1:7" x14ac:dyDescent="0.3">
      <c r="A26" s="20">
        <f t="shared" si="0"/>
        <v>12</v>
      </c>
      <c r="D26" s="22"/>
    </row>
    <row r="27" spans="1:7" x14ac:dyDescent="0.3">
      <c r="A27" s="20">
        <f t="shared" si="0"/>
        <v>13</v>
      </c>
      <c r="D27" s="22">
        <f>+D25+1</f>
        <v>8</v>
      </c>
      <c r="E27" s="4" t="str">
        <f t="shared" ref="E27:E29" si="3">"E-6a Page "&amp;D27&amp;" of "&amp;$D$33</f>
        <v>E-6a Page 8 of 13</v>
      </c>
      <c r="G27" s="4" t="s">
        <v>24</v>
      </c>
    </row>
    <row r="28" spans="1:7" x14ac:dyDescent="0.3">
      <c r="A28" s="20">
        <f t="shared" si="0"/>
        <v>14</v>
      </c>
      <c r="D28" s="22">
        <f>+D27+1</f>
        <v>9</v>
      </c>
      <c r="E28" s="4" t="str">
        <f t="shared" si="3"/>
        <v>E-6a Page 9 of 13</v>
      </c>
      <c r="G28" s="4" t="s">
        <v>25</v>
      </c>
    </row>
    <row r="29" spans="1:7" x14ac:dyDescent="0.3">
      <c r="A29" s="20">
        <f t="shared" si="0"/>
        <v>15</v>
      </c>
      <c r="D29" s="22">
        <f>+D28+1</f>
        <v>10</v>
      </c>
      <c r="E29" s="4" t="str">
        <f t="shared" si="3"/>
        <v>E-6a Page 10 of 13</v>
      </c>
      <c r="G29" s="4" t="s">
        <v>26</v>
      </c>
    </row>
    <row r="30" spans="1:7" x14ac:dyDescent="0.3">
      <c r="A30" s="20">
        <f t="shared" si="0"/>
        <v>16</v>
      </c>
      <c r="D30" s="22"/>
    </row>
    <row r="31" spans="1:7" x14ac:dyDescent="0.3">
      <c r="A31" s="20">
        <f t="shared" si="0"/>
        <v>17</v>
      </c>
      <c r="D31" s="22">
        <f>+D29+1</f>
        <v>11</v>
      </c>
      <c r="E31" s="4" t="str">
        <f t="shared" ref="E31:E33" si="4">"E-6a Page "&amp;D31&amp;" of "&amp;$D$33</f>
        <v>E-6a Page 11 of 13</v>
      </c>
      <c r="G31" s="4" t="s">
        <v>27</v>
      </c>
    </row>
    <row r="32" spans="1:7" x14ac:dyDescent="0.3">
      <c r="A32" s="20">
        <f t="shared" si="0"/>
        <v>18</v>
      </c>
      <c r="D32" s="22">
        <f>+D31+1</f>
        <v>12</v>
      </c>
      <c r="E32" s="4" t="str">
        <f t="shared" si="4"/>
        <v>E-6a Page 12 of 13</v>
      </c>
      <c r="G32" s="4" t="s">
        <v>28</v>
      </c>
    </row>
    <row r="33" spans="1:7" x14ac:dyDescent="0.3">
      <c r="A33" s="20">
        <f t="shared" si="0"/>
        <v>19</v>
      </c>
      <c r="D33" s="22">
        <f>+D32+1</f>
        <v>13</v>
      </c>
      <c r="E33" s="4" t="str">
        <f t="shared" si="4"/>
        <v>E-6a Page 13 of 13</v>
      </c>
      <c r="G33" s="4" t="s">
        <v>29</v>
      </c>
    </row>
    <row r="34" spans="1:7" x14ac:dyDescent="0.3">
      <c r="A34" s="20">
        <f t="shared" si="0"/>
        <v>20</v>
      </c>
      <c r="D34" s="22"/>
    </row>
    <row r="35" spans="1:7" x14ac:dyDescent="0.3">
      <c r="A35" s="20">
        <f t="shared" si="0"/>
        <v>21</v>
      </c>
      <c r="D35" s="22"/>
    </row>
    <row r="36" spans="1:7" x14ac:dyDescent="0.3">
      <c r="A36" s="20">
        <f t="shared" si="0"/>
        <v>22</v>
      </c>
      <c r="D36" s="22"/>
    </row>
    <row r="37" spans="1:7" x14ac:dyDescent="0.3">
      <c r="A37" s="20">
        <f t="shared" si="0"/>
        <v>23</v>
      </c>
      <c r="D37" s="22"/>
    </row>
    <row r="38" spans="1:7" x14ac:dyDescent="0.3">
      <c r="A38" s="20">
        <f t="shared" si="0"/>
        <v>24</v>
      </c>
      <c r="D38" s="22"/>
    </row>
    <row r="39" spans="1:7" x14ac:dyDescent="0.3">
      <c r="A39" s="20">
        <f t="shared" si="0"/>
        <v>25</v>
      </c>
      <c r="D39" s="22"/>
    </row>
    <row r="40" spans="1:7" x14ac:dyDescent="0.3">
      <c r="A40" s="20">
        <f t="shared" si="0"/>
        <v>26</v>
      </c>
      <c r="D40" s="22"/>
    </row>
    <row r="41" spans="1:7" x14ac:dyDescent="0.3">
      <c r="A41" s="20">
        <f t="shared" si="0"/>
        <v>27</v>
      </c>
      <c r="D41" s="22"/>
    </row>
    <row r="42" spans="1:7" x14ac:dyDescent="0.3">
      <c r="A42" s="20">
        <f t="shared" si="0"/>
        <v>28</v>
      </c>
    </row>
    <row r="43" spans="1:7" x14ac:dyDescent="0.3">
      <c r="A43" s="20">
        <f t="shared" si="0"/>
        <v>29</v>
      </c>
    </row>
    <row r="44" spans="1:7" x14ac:dyDescent="0.3">
      <c r="A44" s="20">
        <f t="shared" si="0"/>
        <v>30</v>
      </c>
    </row>
    <row r="45" spans="1:7" x14ac:dyDescent="0.3">
      <c r="A45" s="20">
        <f t="shared" si="0"/>
        <v>31</v>
      </c>
    </row>
    <row r="46" spans="1:7" x14ac:dyDescent="0.3">
      <c r="A46" s="20">
        <f t="shared" si="0"/>
        <v>32</v>
      </c>
    </row>
    <row r="47" spans="1:7" x14ac:dyDescent="0.3">
      <c r="A47" s="20">
        <f t="shared" si="0"/>
        <v>33</v>
      </c>
    </row>
    <row r="48" spans="1:7" x14ac:dyDescent="0.3">
      <c r="A48" s="20">
        <f t="shared" si="0"/>
        <v>34</v>
      </c>
    </row>
    <row r="49" spans="1:15" x14ac:dyDescent="0.3">
      <c r="A49" s="20">
        <f t="shared" si="0"/>
        <v>35</v>
      </c>
    </row>
    <row r="50" spans="1:15" x14ac:dyDescent="0.3">
      <c r="A50" s="20">
        <f t="shared" si="0"/>
        <v>36</v>
      </c>
    </row>
    <row r="51" spans="1:15" x14ac:dyDescent="0.3">
      <c r="A51" s="20">
        <f t="shared" si="0"/>
        <v>37</v>
      </c>
    </row>
    <row r="52" spans="1:15" x14ac:dyDescent="0.3">
      <c r="A52" s="20">
        <f t="shared" si="0"/>
        <v>38</v>
      </c>
    </row>
    <row r="53" spans="1:15" x14ac:dyDescent="0.3">
      <c r="A53" s="20">
        <f t="shared" si="0"/>
        <v>39</v>
      </c>
    </row>
    <row r="55" spans="1:15" x14ac:dyDescent="0.3">
      <c r="A55" s="23" t="s">
        <v>30</v>
      </c>
      <c r="B55" s="24"/>
      <c r="C55" s="25"/>
      <c r="D55" s="26"/>
      <c r="E55" s="26"/>
      <c r="F55" s="26"/>
      <c r="G55" s="26"/>
      <c r="H55" s="26"/>
      <c r="I55" s="26"/>
      <c r="J55" s="26"/>
      <c r="K55" s="26"/>
      <c r="L55" s="26"/>
      <c r="M55" s="23" t="s">
        <v>31</v>
      </c>
      <c r="N55" s="25"/>
      <c r="O55" s="25"/>
    </row>
  </sheetData>
  <pageMargins left="0.3" right="0.3" top="0.25" bottom="0.25" header="0.05" footer="0.05"/>
  <pageSetup paperSize="5" scale="80" orientation="landscape" r:id="rId1"/>
  <headerFooter>
    <oddHeader>&amp;RDEF’s Response to OPC POD 1 (1-26)
Q7
Page &amp;P of &amp;N</oddHeader>
    <oddFooter xml:space="preserve">&amp;R&amp;9&amp;Z&amp;F "&amp;A" &amp;D &amp;[Time
20240025-OPCPOD1-00004288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BFF9-6F8C-4D6C-A0FC-7BF705F0C4FE}">
  <sheetPr syncVertical="1" syncRef="A1" transitionEvaluation="1" transitionEntry="1"/>
  <dimension ref="A2:BY144"/>
  <sheetViews>
    <sheetView tabSelected="1" zoomScale="60" zoomScaleNormal="60" zoomScaleSheetLayoutView="30" workbookViewId="0">
      <selection activeCell="G65" sqref="G65"/>
    </sheetView>
  </sheetViews>
  <sheetFormatPr defaultColWidth="8.54296875" defaultRowHeight="13.8" x14ac:dyDescent="0.3"/>
  <cols>
    <col min="1" max="1" width="5.08984375" style="135" customWidth="1"/>
    <col min="2" max="2" width="1.453125" style="3" customWidth="1"/>
    <col min="3" max="3" width="12.453125" style="3" customWidth="1"/>
    <col min="4" max="4" width="6.54296875" style="3" customWidth="1"/>
    <col min="5" max="5" width="9.81640625" style="3" customWidth="1"/>
    <col min="6" max="6" width="12.453125" style="3" customWidth="1"/>
    <col min="7" max="7" width="12.08984375" style="3" bestFit="1" customWidth="1"/>
    <col min="8" max="8" width="12.36328125" style="3" customWidth="1"/>
    <col min="9" max="10" width="11.1796875" style="3" bestFit="1" customWidth="1"/>
    <col min="11" max="11" width="12.6328125" style="3" bestFit="1" customWidth="1"/>
    <col min="12" max="12" width="20.08984375" style="3" bestFit="1" customWidth="1"/>
    <col min="13" max="13" width="21.7265625" style="3" customWidth="1"/>
    <col min="14" max="14" width="11.81640625" style="3" bestFit="1" customWidth="1"/>
    <col min="15" max="15" width="11.453125" style="3" bestFit="1" customWidth="1"/>
    <col min="16" max="16" width="12.453125" style="3" customWidth="1"/>
    <col min="17" max="18" width="8.54296875" style="3"/>
    <col min="19" max="19" width="8.6328125" style="3" bestFit="1" customWidth="1"/>
    <col min="20" max="22" width="9.08984375" style="3" customWidth="1"/>
    <col min="23" max="26" width="1.08984375" style="3" customWidth="1"/>
    <col min="27" max="27" width="5.08984375" style="135" customWidth="1"/>
    <col min="28" max="28" width="1.453125" style="3" customWidth="1"/>
    <col min="29" max="29" width="12.453125" style="3" customWidth="1"/>
    <col min="30" max="30" width="6.54296875" style="3" customWidth="1"/>
    <col min="31" max="31" width="9.81640625" style="3" customWidth="1"/>
    <col min="32" max="32" width="12.453125" style="3" customWidth="1"/>
    <col min="33" max="33" width="10.1796875" style="3" customWidth="1"/>
    <col min="34" max="34" width="13.90625" style="3" customWidth="1"/>
    <col min="35" max="36" width="11.1796875" style="3" bestFit="1" customWidth="1"/>
    <col min="37" max="37" width="12.6328125" style="3" bestFit="1" customWidth="1"/>
    <col min="38" max="38" width="20.08984375" style="3" bestFit="1" customWidth="1"/>
    <col min="39" max="39" width="31.81640625" style="3" bestFit="1" customWidth="1"/>
    <col min="40" max="40" width="11.81640625" style="3" bestFit="1" customWidth="1"/>
    <col min="41" max="41" width="11.453125" style="3" bestFit="1" customWidth="1"/>
    <col min="42" max="42" width="12.453125" style="3" customWidth="1"/>
    <col min="43" max="44" width="8.54296875" style="3"/>
    <col min="45" max="45" width="8.6328125" style="3" bestFit="1" customWidth="1"/>
    <col min="46" max="47" width="21.90625" style="3" customWidth="1"/>
    <col min="48" max="52" width="1.08984375" style="3" customWidth="1"/>
    <col min="53" max="53" width="5.08984375" style="135" customWidth="1"/>
    <col min="54" max="54" width="1.453125" style="3" customWidth="1"/>
    <col min="55" max="55" width="12.453125" style="3" customWidth="1"/>
    <col min="56" max="56" width="6.54296875" style="3" customWidth="1"/>
    <col min="57" max="57" width="9.81640625" style="3" customWidth="1"/>
    <col min="58" max="58" width="12.453125" style="3" customWidth="1"/>
    <col min="59" max="59" width="12.08984375" style="3" bestFit="1" customWidth="1"/>
    <col min="60" max="60" width="13.81640625" style="3" customWidth="1"/>
    <col min="61" max="62" width="11.1796875" style="3" bestFit="1" customWidth="1"/>
    <col min="63" max="63" width="12.6328125" style="3" bestFit="1" customWidth="1"/>
    <col min="64" max="64" width="13.1796875" style="3" bestFit="1" customWidth="1"/>
    <col min="65" max="65" width="9.1796875" style="3" customWidth="1"/>
    <col min="66" max="66" width="8.1796875" style="3" bestFit="1" customWidth="1"/>
    <col min="67" max="67" width="10.08984375" style="3" bestFit="1" customWidth="1"/>
    <col min="68" max="68" width="12.453125" style="3" customWidth="1"/>
    <col min="69" max="71" width="8.54296875" style="3"/>
    <col min="72" max="73" width="9.08984375" style="3" customWidth="1"/>
    <col min="74" max="77" width="1.08984375" style="3" customWidth="1"/>
    <col min="78" max="171" width="8.54296875" style="3"/>
    <col min="172" max="172" width="4.08984375" style="3" customWidth="1"/>
    <col min="173" max="179" width="8.54296875" style="3"/>
    <col min="180" max="180" width="3.08984375" style="3" customWidth="1"/>
    <col min="181" max="427" width="8.54296875" style="3"/>
    <col min="428" max="428" width="4.08984375" style="3" customWidth="1"/>
    <col min="429" max="435" width="8.54296875" style="3"/>
    <col min="436" max="436" width="3.08984375" style="3" customWidth="1"/>
    <col min="437" max="683" width="8.54296875" style="3"/>
    <col min="684" max="684" width="4.08984375" style="3" customWidth="1"/>
    <col min="685" max="691" width="8.54296875" style="3"/>
    <col min="692" max="692" width="3.08984375" style="3" customWidth="1"/>
    <col min="693" max="939" width="8.54296875" style="3"/>
    <col min="940" max="940" width="4.08984375" style="3" customWidth="1"/>
    <col min="941" max="947" width="8.54296875" style="3"/>
    <col min="948" max="948" width="3.08984375" style="3" customWidth="1"/>
    <col min="949" max="1195" width="8.54296875" style="3"/>
    <col min="1196" max="1196" width="4.08984375" style="3" customWidth="1"/>
    <col min="1197" max="1203" width="8.54296875" style="3"/>
    <col min="1204" max="1204" width="3.08984375" style="3" customWidth="1"/>
    <col min="1205" max="1451" width="8.54296875" style="3"/>
    <col min="1452" max="1452" width="4.08984375" style="3" customWidth="1"/>
    <col min="1453" max="1459" width="8.54296875" style="3"/>
    <col min="1460" max="1460" width="3.08984375" style="3" customWidth="1"/>
    <col min="1461" max="1707" width="8.54296875" style="3"/>
    <col min="1708" max="1708" width="4.08984375" style="3" customWidth="1"/>
    <col min="1709" max="1715" width="8.54296875" style="3"/>
    <col min="1716" max="1716" width="3.08984375" style="3" customWidth="1"/>
    <col min="1717" max="1963" width="8.54296875" style="3"/>
    <col min="1964" max="1964" width="4.08984375" style="3" customWidth="1"/>
    <col min="1965" max="1971" width="8.54296875" style="3"/>
    <col min="1972" max="1972" width="3.08984375" style="3" customWidth="1"/>
    <col min="1973" max="2219" width="8.54296875" style="3"/>
    <col min="2220" max="2220" width="4.08984375" style="3" customWidth="1"/>
    <col min="2221" max="2227" width="8.54296875" style="3"/>
    <col min="2228" max="2228" width="3.08984375" style="3" customWidth="1"/>
    <col min="2229" max="2475" width="8.54296875" style="3"/>
    <col min="2476" max="2476" width="4.08984375" style="3" customWidth="1"/>
    <col min="2477" max="2483" width="8.54296875" style="3"/>
    <col min="2484" max="2484" width="3.08984375" style="3" customWidth="1"/>
    <col min="2485" max="2731" width="8.54296875" style="3"/>
    <col min="2732" max="2732" width="4.08984375" style="3" customWidth="1"/>
    <col min="2733" max="2739" width="8.54296875" style="3"/>
    <col min="2740" max="2740" width="3.08984375" style="3" customWidth="1"/>
    <col min="2741" max="2987" width="8.54296875" style="3"/>
    <col min="2988" max="2988" width="4.08984375" style="3" customWidth="1"/>
    <col min="2989" max="2995" width="8.54296875" style="3"/>
    <col min="2996" max="2996" width="3.08984375" style="3" customWidth="1"/>
    <col min="2997" max="3243" width="8.54296875" style="3"/>
    <col min="3244" max="3244" width="4.08984375" style="3" customWidth="1"/>
    <col min="3245" max="3251" width="8.54296875" style="3"/>
    <col min="3252" max="3252" width="3.08984375" style="3" customWidth="1"/>
    <col min="3253" max="3499" width="8.54296875" style="3"/>
    <col min="3500" max="3500" width="4.08984375" style="3" customWidth="1"/>
    <col min="3501" max="3507" width="8.54296875" style="3"/>
    <col min="3508" max="3508" width="3.08984375" style="3" customWidth="1"/>
    <col min="3509" max="3755" width="8.54296875" style="3"/>
    <col min="3756" max="3756" width="4.08984375" style="3" customWidth="1"/>
    <col min="3757" max="3763" width="8.54296875" style="3"/>
    <col min="3764" max="3764" width="3.08984375" style="3" customWidth="1"/>
    <col min="3765" max="4011" width="8.54296875" style="3"/>
    <col min="4012" max="4012" width="4.08984375" style="3" customWidth="1"/>
    <col min="4013" max="4019" width="8.54296875" style="3"/>
    <col min="4020" max="4020" width="3.08984375" style="3" customWidth="1"/>
    <col min="4021" max="4267" width="8.54296875" style="3"/>
    <col min="4268" max="4268" width="4.08984375" style="3" customWidth="1"/>
    <col min="4269" max="4275" width="8.54296875" style="3"/>
    <col min="4276" max="4276" width="3.08984375" style="3" customWidth="1"/>
    <col min="4277" max="4523" width="8.54296875" style="3"/>
    <col min="4524" max="4524" width="4.08984375" style="3" customWidth="1"/>
    <col min="4525" max="4531" width="8.54296875" style="3"/>
    <col min="4532" max="4532" width="3.08984375" style="3" customWidth="1"/>
    <col min="4533" max="4779" width="8.54296875" style="3"/>
    <col min="4780" max="4780" width="4.08984375" style="3" customWidth="1"/>
    <col min="4781" max="4787" width="8.54296875" style="3"/>
    <col min="4788" max="4788" width="3.08984375" style="3" customWidth="1"/>
    <col min="4789" max="5035" width="8.54296875" style="3"/>
    <col min="5036" max="5036" width="4.08984375" style="3" customWidth="1"/>
    <col min="5037" max="5043" width="8.54296875" style="3"/>
    <col min="5044" max="5044" width="3.08984375" style="3" customWidth="1"/>
    <col min="5045" max="5291" width="8.54296875" style="3"/>
    <col min="5292" max="5292" width="4.08984375" style="3" customWidth="1"/>
    <col min="5293" max="5299" width="8.54296875" style="3"/>
    <col min="5300" max="5300" width="3.08984375" style="3" customWidth="1"/>
    <col min="5301" max="5547" width="8.54296875" style="3"/>
    <col min="5548" max="5548" width="4.08984375" style="3" customWidth="1"/>
    <col min="5549" max="5555" width="8.54296875" style="3"/>
    <col min="5556" max="5556" width="3.08984375" style="3" customWidth="1"/>
    <col min="5557" max="5803" width="8.54296875" style="3"/>
    <col min="5804" max="5804" width="4.08984375" style="3" customWidth="1"/>
    <col min="5805" max="5811" width="8.54296875" style="3"/>
    <col min="5812" max="5812" width="3.08984375" style="3" customWidth="1"/>
    <col min="5813" max="6059" width="8.54296875" style="3"/>
    <col min="6060" max="6060" width="4.08984375" style="3" customWidth="1"/>
    <col min="6061" max="6067" width="8.54296875" style="3"/>
    <col min="6068" max="6068" width="3.08984375" style="3" customWidth="1"/>
    <col min="6069" max="6315" width="8.54296875" style="3"/>
    <col min="6316" max="6316" width="4.08984375" style="3" customWidth="1"/>
    <col min="6317" max="6323" width="8.54296875" style="3"/>
    <col min="6324" max="6324" width="3.08984375" style="3" customWidth="1"/>
    <col min="6325" max="6571" width="8.54296875" style="3"/>
    <col min="6572" max="6572" width="4.08984375" style="3" customWidth="1"/>
    <col min="6573" max="6579" width="8.54296875" style="3"/>
    <col min="6580" max="6580" width="3.08984375" style="3" customWidth="1"/>
    <col min="6581" max="6827" width="8.54296875" style="3"/>
    <col min="6828" max="6828" width="4.08984375" style="3" customWidth="1"/>
    <col min="6829" max="6835" width="8.54296875" style="3"/>
    <col min="6836" max="6836" width="3.08984375" style="3" customWidth="1"/>
    <col min="6837" max="7083" width="8.54296875" style="3"/>
    <col min="7084" max="7084" width="4.08984375" style="3" customWidth="1"/>
    <col min="7085" max="7091" width="8.54296875" style="3"/>
    <col min="7092" max="7092" width="3.08984375" style="3" customWidth="1"/>
    <col min="7093" max="7339" width="8.54296875" style="3"/>
    <col min="7340" max="7340" width="4.08984375" style="3" customWidth="1"/>
    <col min="7341" max="7347" width="8.54296875" style="3"/>
    <col min="7348" max="7348" width="3.08984375" style="3" customWidth="1"/>
    <col min="7349" max="7595" width="8.54296875" style="3"/>
    <col min="7596" max="7596" width="4.08984375" style="3" customWidth="1"/>
    <col min="7597" max="7603" width="8.54296875" style="3"/>
    <col min="7604" max="7604" width="3.08984375" style="3" customWidth="1"/>
    <col min="7605" max="7851" width="8.54296875" style="3"/>
    <col min="7852" max="7852" width="4.08984375" style="3" customWidth="1"/>
    <col min="7853" max="7859" width="8.54296875" style="3"/>
    <col min="7860" max="7860" width="3.08984375" style="3" customWidth="1"/>
    <col min="7861" max="8107" width="8.54296875" style="3"/>
    <col min="8108" max="8108" width="4.08984375" style="3" customWidth="1"/>
    <col min="8109" max="8115" width="8.54296875" style="3"/>
    <col min="8116" max="8116" width="3.08984375" style="3" customWidth="1"/>
    <col min="8117" max="8363" width="8.54296875" style="3"/>
    <col min="8364" max="8364" width="4.08984375" style="3" customWidth="1"/>
    <col min="8365" max="8371" width="8.54296875" style="3"/>
    <col min="8372" max="8372" width="3.08984375" style="3" customWidth="1"/>
    <col min="8373" max="8619" width="8.54296875" style="3"/>
    <col min="8620" max="8620" width="4.08984375" style="3" customWidth="1"/>
    <col min="8621" max="8627" width="8.54296875" style="3"/>
    <col min="8628" max="8628" width="3.08984375" style="3" customWidth="1"/>
    <col min="8629" max="8875" width="8.54296875" style="3"/>
    <col min="8876" max="8876" width="4.08984375" style="3" customWidth="1"/>
    <col min="8877" max="8883" width="8.54296875" style="3"/>
    <col min="8884" max="8884" width="3.08984375" style="3" customWidth="1"/>
    <col min="8885" max="9131" width="8.54296875" style="3"/>
    <col min="9132" max="9132" width="4.08984375" style="3" customWidth="1"/>
    <col min="9133" max="9139" width="8.54296875" style="3"/>
    <col min="9140" max="9140" width="3.08984375" style="3" customWidth="1"/>
    <col min="9141" max="9387" width="8.54296875" style="3"/>
    <col min="9388" max="9388" width="4.08984375" style="3" customWidth="1"/>
    <col min="9389" max="9395" width="8.54296875" style="3"/>
    <col min="9396" max="9396" width="3.08984375" style="3" customWidth="1"/>
    <col min="9397" max="9643" width="8.54296875" style="3"/>
    <col min="9644" max="9644" width="4.08984375" style="3" customWidth="1"/>
    <col min="9645" max="9651" width="8.54296875" style="3"/>
    <col min="9652" max="9652" width="3.08984375" style="3" customWidth="1"/>
    <col min="9653" max="9899" width="8.54296875" style="3"/>
    <col min="9900" max="9900" width="4.08984375" style="3" customWidth="1"/>
    <col min="9901" max="9907" width="8.54296875" style="3"/>
    <col min="9908" max="9908" width="3.08984375" style="3" customWidth="1"/>
    <col min="9909" max="10155" width="8.54296875" style="3"/>
    <col min="10156" max="10156" width="4.08984375" style="3" customWidth="1"/>
    <col min="10157" max="10163" width="8.54296875" style="3"/>
    <col min="10164" max="10164" width="3.08984375" style="3" customWidth="1"/>
    <col min="10165" max="10411" width="8.54296875" style="3"/>
    <col min="10412" max="10412" width="4.08984375" style="3" customWidth="1"/>
    <col min="10413" max="10419" width="8.54296875" style="3"/>
    <col min="10420" max="10420" width="3.08984375" style="3" customWidth="1"/>
    <col min="10421" max="10667" width="8.54296875" style="3"/>
    <col min="10668" max="10668" width="4.08984375" style="3" customWidth="1"/>
    <col min="10669" max="10675" width="8.54296875" style="3"/>
    <col min="10676" max="10676" width="3.08984375" style="3" customWidth="1"/>
    <col min="10677" max="10923" width="8.54296875" style="3"/>
    <col min="10924" max="10924" width="4.08984375" style="3" customWidth="1"/>
    <col min="10925" max="10931" width="8.54296875" style="3"/>
    <col min="10932" max="10932" width="3.08984375" style="3" customWidth="1"/>
    <col min="10933" max="11179" width="8.54296875" style="3"/>
    <col min="11180" max="11180" width="4.08984375" style="3" customWidth="1"/>
    <col min="11181" max="11187" width="8.54296875" style="3"/>
    <col min="11188" max="11188" width="3.08984375" style="3" customWidth="1"/>
    <col min="11189" max="11435" width="8.54296875" style="3"/>
    <col min="11436" max="11436" width="4.08984375" style="3" customWidth="1"/>
    <col min="11437" max="11443" width="8.54296875" style="3"/>
    <col min="11444" max="11444" width="3.08984375" style="3" customWidth="1"/>
    <col min="11445" max="11691" width="8.54296875" style="3"/>
    <col min="11692" max="11692" width="4.08984375" style="3" customWidth="1"/>
    <col min="11693" max="11699" width="8.54296875" style="3"/>
    <col min="11700" max="11700" width="3.08984375" style="3" customWidth="1"/>
    <col min="11701" max="11947" width="8.54296875" style="3"/>
    <col min="11948" max="11948" width="4.08984375" style="3" customWidth="1"/>
    <col min="11949" max="11955" width="8.54296875" style="3"/>
    <col min="11956" max="11956" width="3.08984375" style="3" customWidth="1"/>
    <col min="11957" max="12203" width="8.54296875" style="3"/>
    <col min="12204" max="12204" width="4.08984375" style="3" customWidth="1"/>
    <col min="12205" max="12211" width="8.54296875" style="3"/>
    <col min="12212" max="12212" width="3.08984375" style="3" customWidth="1"/>
    <col min="12213" max="12459" width="8.54296875" style="3"/>
    <col min="12460" max="12460" width="4.08984375" style="3" customWidth="1"/>
    <col min="12461" max="12467" width="8.54296875" style="3"/>
    <col min="12468" max="12468" width="3.08984375" style="3" customWidth="1"/>
    <col min="12469" max="12715" width="8.54296875" style="3"/>
    <col min="12716" max="12716" width="4.08984375" style="3" customWidth="1"/>
    <col min="12717" max="12723" width="8.54296875" style="3"/>
    <col min="12724" max="12724" width="3.08984375" style="3" customWidth="1"/>
    <col min="12725" max="12971" width="8.54296875" style="3"/>
    <col min="12972" max="12972" width="4.08984375" style="3" customWidth="1"/>
    <col min="12973" max="12979" width="8.54296875" style="3"/>
    <col min="12980" max="12980" width="3.08984375" style="3" customWidth="1"/>
    <col min="12981" max="13227" width="8.54296875" style="3"/>
    <col min="13228" max="13228" width="4.08984375" style="3" customWidth="1"/>
    <col min="13229" max="13235" width="8.54296875" style="3"/>
    <col min="13236" max="13236" width="3.08984375" style="3" customWidth="1"/>
    <col min="13237" max="13483" width="8.54296875" style="3"/>
    <col min="13484" max="13484" width="4.08984375" style="3" customWidth="1"/>
    <col min="13485" max="13491" width="8.54296875" style="3"/>
    <col min="13492" max="13492" width="3.08984375" style="3" customWidth="1"/>
    <col min="13493" max="13739" width="8.54296875" style="3"/>
    <col min="13740" max="13740" width="4.08984375" style="3" customWidth="1"/>
    <col min="13741" max="13747" width="8.54296875" style="3"/>
    <col min="13748" max="13748" width="3.08984375" style="3" customWidth="1"/>
    <col min="13749" max="13995" width="8.54296875" style="3"/>
    <col min="13996" max="13996" width="4.08984375" style="3" customWidth="1"/>
    <col min="13997" max="14003" width="8.54296875" style="3"/>
    <col min="14004" max="14004" width="3.08984375" style="3" customWidth="1"/>
    <col min="14005" max="14251" width="8.54296875" style="3"/>
    <col min="14252" max="14252" width="4.08984375" style="3" customWidth="1"/>
    <col min="14253" max="14259" width="8.54296875" style="3"/>
    <col min="14260" max="14260" width="3.08984375" style="3" customWidth="1"/>
    <col min="14261" max="14507" width="8.54296875" style="3"/>
    <col min="14508" max="14508" width="4.08984375" style="3" customWidth="1"/>
    <col min="14509" max="14515" width="8.54296875" style="3"/>
    <col min="14516" max="14516" width="3.08984375" style="3" customWidth="1"/>
    <col min="14517" max="14763" width="8.54296875" style="3"/>
    <col min="14764" max="14764" width="4.08984375" style="3" customWidth="1"/>
    <col min="14765" max="14771" width="8.54296875" style="3"/>
    <col min="14772" max="14772" width="3.08984375" style="3" customWidth="1"/>
    <col min="14773" max="15019" width="8.54296875" style="3"/>
    <col min="15020" max="15020" width="4.08984375" style="3" customWidth="1"/>
    <col min="15021" max="15027" width="8.54296875" style="3"/>
    <col min="15028" max="15028" width="3.08984375" style="3" customWidth="1"/>
    <col min="15029" max="15275" width="8.54296875" style="3"/>
    <col min="15276" max="15276" width="4.08984375" style="3" customWidth="1"/>
    <col min="15277" max="15283" width="8.54296875" style="3"/>
    <col min="15284" max="15284" width="3.08984375" style="3" customWidth="1"/>
    <col min="15285" max="15531" width="8.54296875" style="3"/>
    <col min="15532" max="15532" width="4.08984375" style="3" customWidth="1"/>
    <col min="15533" max="15539" width="8.54296875" style="3"/>
    <col min="15540" max="15540" width="3.08984375" style="3" customWidth="1"/>
    <col min="15541" max="15787" width="8.54296875" style="3"/>
    <col min="15788" max="15788" width="4.08984375" style="3" customWidth="1"/>
    <col min="15789" max="15795" width="8.54296875" style="3"/>
    <col min="15796" max="15796" width="3.08984375" style="3" customWidth="1"/>
    <col min="15797" max="16043" width="8.54296875" style="3"/>
    <col min="16044" max="16044" width="4.08984375" style="3" customWidth="1"/>
    <col min="16045" max="16051" width="8.54296875" style="3"/>
    <col min="16052" max="16052" width="3.08984375" style="3" customWidth="1"/>
    <col min="16053" max="16384" width="8.54296875" style="3"/>
  </cols>
  <sheetData>
    <row r="2" spans="1:77" s="29" customFormat="1" x14ac:dyDescent="0.3">
      <c r="A2" s="27">
        <f>'Procedures &amp; Inputs'!E22</f>
        <v>2027</v>
      </c>
      <c r="B2" s="27"/>
      <c r="C2" s="27"/>
      <c r="D2" s="27"/>
      <c r="E2" s="27"/>
      <c r="F2" s="27"/>
      <c r="G2" s="27"/>
      <c r="H2" s="27"/>
      <c r="I2" s="27"/>
      <c r="J2" s="27"/>
      <c r="K2" s="27"/>
      <c r="L2" s="27"/>
      <c r="M2" s="27"/>
      <c r="N2" s="27"/>
      <c r="O2" s="27"/>
      <c r="P2" s="27"/>
      <c r="Q2" s="27"/>
      <c r="R2" s="27"/>
      <c r="S2" s="27"/>
      <c r="T2" s="27"/>
      <c r="U2" s="27"/>
      <c r="V2" s="27"/>
      <c r="W2" s="27"/>
      <c r="X2" s="27"/>
      <c r="Y2" s="27"/>
      <c r="Z2" s="28"/>
      <c r="AA2" s="27">
        <f>'Procedures &amp; Inputs'!E21</f>
        <v>2026</v>
      </c>
      <c r="AB2" s="27"/>
      <c r="AC2" s="27"/>
      <c r="AD2" s="27"/>
      <c r="AE2" s="27"/>
      <c r="AF2" s="27"/>
      <c r="AG2" s="27"/>
      <c r="AH2" s="27"/>
      <c r="AI2" s="27"/>
      <c r="AJ2" s="27"/>
      <c r="AK2" s="27"/>
      <c r="AL2" s="27"/>
      <c r="AM2" s="27"/>
      <c r="AN2" s="27"/>
      <c r="AO2" s="27"/>
      <c r="AP2" s="27"/>
      <c r="AQ2" s="27"/>
      <c r="AR2" s="27"/>
      <c r="AS2" s="27"/>
      <c r="AT2" s="27"/>
      <c r="AU2" s="27"/>
      <c r="AV2" s="27"/>
      <c r="AW2" s="27"/>
      <c r="AX2" s="27"/>
      <c r="AY2" s="27"/>
      <c r="AZ2" s="28"/>
      <c r="BA2" s="27">
        <f>'Procedures &amp; Inputs'!$E$20</f>
        <v>2025</v>
      </c>
      <c r="BB2" s="27"/>
      <c r="BC2" s="27"/>
      <c r="BD2" s="27"/>
      <c r="BE2" s="27"/>
      <c r="BF2" s="27"/>
      <c r="BG2" s="27"/>
      <c r="BH2" s="27"/>
      <c r="BI2" s="27"/>
      <c r="BJ2" s="27"/>
      <c r="BK2" s="27"/>
      <c r="BL2" s="27"/>
      <c r="BM2" s="27"/>
      <c r="BN2" s="27"/>
      <c r="BO2" s="27"/>
      <c r="BP2" s="27"/>
      <c r="BQ2" s="27"/>
      <c r="BR2" s="27"/>
      <c r="BS2" s="27"/>
      <c r="BT2" s="27"/>
      <c r="BU2" s="27"/>
      <c r="BV2" s="27"/>
      <c r="BW2" s="27"/>
      <c r="BX2" s="27"/>
      <c r="BY2" s="27"/>
    </row>
    <row r="3" spans="1:77" x14ac:dyDescent="0.3">
      <c r="A3" s="1" t="s">
        <v>0</v>
      </c>
      <c r="B3" s="2"/>
      <c r="H3" s="2" t="s">
        <v>1</v>
      </c>
      <c r="I3" s="5"/>
      <c r="J3" s="5"/>
      <c r="K3" s="5"/>
      <c r="L3" s="5"/>
      <c r="M3" s="1"/>
      <c r="O3" s="30" t="str">
        <f>RIGHT('E-6a (1)'!$E$19,12)</f>
        <v>Page 2 of 13</v>
      </c>
      <c r="P3" s="31"/>
      <c r="Z3" s="32"/>
      <c r="AA3" s="1" t="s">
        <v>0</v>
      </c>
      <c r="AB3" s="2"/>
      <c r="AH3" s="2" t="s">
        <v>1</v>
      </c>
      <c r="AI3" s="5"/>
      <c r="AJ3" s="5"/>
      <c r="AK3" s="5"/>
      <c r="AL3" s="5"/>
      <c r="AM3" s="1"/>
      <c r="AO3" s="30" t="str">
        <f>RIGHT('E-6a (1)'!$E$20,12)</f>
        <v>Page 3 of 13</v>
      </c>
      <c r="AP3" s="31"/>
      <c r="AZ3" s="32"/>
      <c r="BA3" s="1" t="s">
        <v>0</v>
      </c>
      <c r="BB3" s="2"/>
      <c r="BH3" s="2" t="s">
        <v>1</v>
      </c>
      <c r="BI3" s="5"/>
      <c r="BJ3" s="5"/>
      <c r="BK3" s="5"/>
      <c r="BL3" s="5"/>
      <c r="BM3" s="1"/>
      <c r="BO3" s="30" t="str">
        <f>RIGHT('E-6a (1)'!$E$21,12)</f>
        <v>Page 4 of 13</v>
      </c>
    </row>
    <row r="4" spans="1:77" ht="4.5" customHeight="1" x14ac:dyDescent="0.3">
      <c r="A4" s="7"/>
      <c r="B4" s="8"/>
      <c r="C4" s="8"/>
      <c r="D4" s="8"/>
      <c r="E4" s="8"/>
      <c r="F4" s="8"/>
      <c r="G4" s="8"/>
      <c r="H4" s="8"/>
      <c r="I4" s="8"/>
      <c r="J4" s="8"/>
      <c r="K4" s="8"/>
      <c r="L4" s="8"/>
      <c r="M4" s="8"/>
      <c r="N4" s="8"/>
      <c r="O4" s="8"/>
      <c r="P4" s="31"/>
      <c r="Z4" s="32"/>
      <c r="AA4" s="7"/>
      <c r="AB4" s="8"/>
      <c r="AC4" s="8"/>
      <c r="AD4" s="8"/>
      <c r="AE4" s="8"/>
      <c r="AF4" s="8"/>
      <c r="AG4" s="8"/>
      <c r="AH4" s="8"/>
      <c r="AI4" s="8"/>
      <c r="AJ4" s="8"/>
      <c r="AK4" s="8"/>
      <c r="AL4" s="8"/>
      <c r="AM4" s="8"/>
      <c r="AN4" s="8"/>
      <c r="AO4" s="8"/>
      <c r="AP4" s="31"/>
      <c r="AZ4" s="32"/>
      <c r="BA4" s="7"/>
      <c r="BB4" s="8"/>
      <c r="BC4" s="8"/>
      <c r="BD4" s="8"/>
      <c r="BE4" s="8"/>
      <c r="BF4" s="8"/>
      <c r="BG4" s="8"/>
      <c r="BH4" s="8"/>
      <c r="BI4" s="8"/>
      <c r="BJ4" s="8"/>
      <c r="BK4" s="8"/>
      <c r="BL4" s="8"/>
      <c r="BM4" s="8"/>
      <c r="BN4" s="8"/>
      <c r="BO4" s="8"/>
    </row>
    <row r="5" spans="1:77" x14ac:dyDescent="0.3">
      <c r="A5" s="9" t="s">
        <v>3</v>
      </c>
      <c r="G5" s="1" t="s">
        <v>4</v>
      </c>
      <c r="H5" s="2" t="s">
        <v>32</v>
      </c>
      <c r="I5" s="5"/>
      <c r="J5" s="5"/>
      <c r="K5" s="5"/>
      <c r="L5" s="5"/>
      <c r="M5" s="9" t="s">
        <v>6</v>
      </c>
      <c r="P5" s="31"/>
      <c r="Z5" s="32"/>
      <c r="AA5" s="9" t="s">
        <v>3</v>
      </c>
      <c r="AG5" s="1" t="s">
        <v>4</v>
      </c>
      <c r="AH5" s="2" t="s">
        <v>32</v>
      </c>
      <c r="AI5" s="5"/>
      <c r="AJ5" s="5"/>
      <c r="AK5" s="5"/>
      <c r="AL5" s="5"/>
      <c r="AM5" s="9" t="s">
        <v>6</v>
      </c>
      <c r="AP5" s="31"/>
      <c r="AZ5" s="32"/>
      <c r="BA5" s="9" t="s">
        <v>3</v>
      </c>
      <c r="BG5" s="1" t="s">
        <v>4</v>
      </c>
      <c r="BH5" s="2" t="s">
        <v>32</v>
      </c>
      <c r="BI5" s="5"/>
      <c r="BJ5" s="5"/>
      <c r="BK5" s="5"/>
      <c r="BL5" s="5"/>
      <c r="BM5" s="9" t="s">
        <v>6</v>
      </c>
    </row>
    <row r="6" spans="1:77" x14ac:dyDescent="0.3">
      <c r="A6" s="11" t="s">
        <v>8</v>
      </c>
      <c r="E6" s="1"/>
      <c r="F6" s="5"/>
      <c r="G6" s="5"/>
      <c r="H6" s="5"/>
      <c r="I6" s="5"/>
      <c r="J6" s="5"/>
      <c r="K6" s="5"/>
      <c r="L6" s="5"/>
      <c r="M6" s="10" t="str">
        <f>+'Procedures &amp; Inputs'!$F$10</f>
        <v>__X__  Projected Test Year Ended 12/31/27</v>
      </c>
      <c r="P6" s="31"/>
      <c r="Z6" s="32"/>
      <c r="AA6" s="11" t="s">
        <v>8</v>
      </c>
      <c r="AE6" s="1"/>
      <c r="AF6" s="5"/>
      <c r="AG6" s="5"/>
      <c r="AH6" s="5"/>
      <c r="AI6" s="5"/>
      <c r="AJ6" s="5"/>
      <c r="AK6" s="5"/>
      <c r="AL6" s="5"/>
      <c r="AM6" s="10" t="str">
        <f>+'Procedures &amp; Inputs'!$F$11</f>
        <v>__X__  Projected Test Year Ended 12/31/26</v>
      </c>
      <c r="AP6" s="31"/>
      <c r="AZ6" s="32"/>
      <c r="BA6" s="11" t="s">
        <v>8</v>
      </c>
      <c r="BE6" s="1"/>
      <c r="BF6" s="5"/>
      <c r="BG6" s="5"/>
      <c r="BH6" s="5"/>
      <c r="BI6" s="5"/>
      <c r="BJ6" s="5"/>
      <c r="BK6" s="5"/>
      <c r="BL6" s="5"/>
      <c r="BM6" s="10" t="str">
        <f>+'Procedures &amp; Inputs'!$F$12</f>
        <v>__X__  Projected Test Year Ended 12/31/25</v>
      </c>
    </row>
    <row r="7" spans="1:77" x14ac:dyDescent="0.3">
      <c r="A7" s="11" t="s">
        <v>255</v>
      </c>
      <c r="B7" s="13"/>
      <c r="E7" s="1"/>
      <c r="F7" s="5"/>
      <c r="G7" s="5"/>
      <c r="H7" s="5"/>
      <c r="I7" s="5"/>
      <c r="J7" s="5"/>
      <c r="K7" s="5"/>
      <c r="L7" s="5"/>
      <c r="M7" s="9" t="str">
        <f>+'Procedures &amp; Inputs'!$H$16</f>
        <v>Witness:  Borsch, Olivier</v>
      </c>
      <c r="P7" s="31"/>
      <c r="Z7" s="32"/>
      <c r="AA7" s="11" t="s">
        <v>255</v>
      </c>
      <c r="AB7" s="13"/>
      <c r="AE7" s="1"/>
      <c r="AF7" s="5"/>
      <c r="AG7" s="5"/>
      <c r="AH7" s="5"/>
      <c r="AI7" s="5"/>
      <c r="AJ7" s="5"/>
      <c r="AK7" s="5"/>
      <c r="AL7" s="5"/>
      <c r="AM7" s="9" t="str">
        <f>+'Procedures &amp; Inputs'!$H$16</f>
        <v>Witness:  Borsch, Olivier</v>
      </c>
      <c r="AP7" s="31"/>
      <c r="AZ7" s="32"/>
      <c r="BA7" s="11" t="s">
        <v>255</v>
      </c>
      <c r="BB7" s="13"/>
      <c r="BE7" s="1"/>
      <c r="BF7" s="5"/>
      <c r="BG7" s="5"/>
      <c r="BH7" s="5"/>
      <c r="BI7" s="5"/>
      <c r="BJ7" s="5"/>
      <c r="BK7" s="5"/>
      <c r="BL7" s="5"/>
      <c r="BM7" s="9" t="str">
        <f>+'Procedures &amp; Inputs'!$H$16</f>
        <v>Witness:  Borsch, Olivier</v>
      </c>
    </row>
    <row r="8" spans="1:77" ht="15.75" customHeight="1" x14ac:dyDescent="0.3">
      <c r="A8" s="33" t="str">
        <f>"PRODUCTION CAPACITY ALLOCATION METHOD: "&amp;'Procedures &amp; Inputs'!$D$217</f>
        <v>PRODUCTION CAPACITY ALLOCATION METHOD: 12 CP and 25% AD</v>
      </c>
      <c r="B8" s="34"/>
      <c r="C8" s="34"/>
      <c r="D8" s="34"/>
      <c r="E8" s="35"/>
      <c r="F8" s="35"/>
      <c r="G8" s="35"/>
      <c r="H8" s="35"/>
      <c r="I8" s="35"/>
      <c r="J8" s="35"/>
      <c r="K8" s="35"/>
      <c r="L8" s="35"/>
      <c r="M8" s="34"/>
      <c r="N8" s="34"/>
      <c r="O8" s="34"/>
      <c r="P8" s="31"/>
      <c r="Z8" s="32"/>
      <c r="AA8" s="33" t="str">
        <f>"PRODUCTION CAPACITY ALLOCATION METHOD: "&amp;'Procedures &amp; Inputs'!$D$217</f>
        <v>PRODUCTION CAPACITY ALLOCATION METHOD: 12 CP and 25% AD</v>
      </c>
      <c r="AB8" s="34"/>
      <c r="AC8" s="34"/>
      <c r="AD8" s="34"/>
      <c r="AE8" s="35"/>
      <c r="AF8" s="35"/>
      <c r="AG8" s="35"/>
      <c r="AH8" s="35"/>
      <c r="AI8" s="35"/>
      <c r="AJ8" s="35"/>
      <c r="AK8" s="35"/>
      <c r="AL8" s="35"/>
      <c r="AM8" s="34"/>
      <c r="AN8" s="34"/>
      <c r="AO8" s="34"/>
      <c r="AP8" s="31"/>
      <c r="AZ8" s="32"/>
      <c r="BA8" s="33" t="str">
        <f>"PRODUCTION CAPACITY ALLOCATION METHOD: "&amp;'Procedures &amp; Inputs'!$D$217</f>
        <v>PRODUCTION CAPACITY ALLOCATION METHOD: 12 CP and 25% AD</v>
      </c>
      <c r="BB8" s="34"/>
      <c r="BC8" s="34"/>
      <c r="BD8" s="34"/>
      <c r="BE8" s="35"/>
      <c r="BF8" s="35"/>
      <c r="BG8" s="35"/>
      <c r="BH8" s="35"/>
      <c r="BI8" s="35"/>
      <c r="BJ8" s="35"/>
      <c r="BK8" s="35"/>
      <c r="BL8" s="35"/>
      <c r="BM8" s="34"/>
      <c r="BN8" s="34"/>
      <c r="BO8" s="34"/>
    </row>
    <row r="9" spans="1:77" s="29" customFormat="1" x14ac:dyDescent="0.3">
      <c r="A9" s="36"/>
      <c r="B9" s="37"/>
      <c r="C9" s="37"/>
      <c r="G9" s="38">
        <v>-1</v>
      </c>
      <c r="H9" s="38">
        <f t="shared" ref="H9:O9" si="0">+G9-1</f>
        <v>-2</v>
      </c>
      <c r="I9" s="38">
        <f t="shared" si="0"/>
        <v>-3</v>
      </c>
      <c r="J9" s="38">
        <f t="shared" si="0"/>
        <v>-4</v>
      </c>
      <c r="K9" s="38">
        <f t="shared" si="0"/>
        <v>-5</v>
      </c>
      <c r="L9" s="38">
        <f t="shared" si="0"/>
        <v>-6</v>
      </c>
      <c r="M9" s="38">
        <f t="shared" si="0"/>
        <v>-7</v>
      </c>
      <c r="N9" s="38">
        <f t="shared" si="0"/>
        <v>-8</v>
      </c>
      <c r="O9" s="38">
        <f t="shared" si="0"/>
        <v>-9</v>
      </c>
      <c r="P9" s="31"/>
      <c r="Z9" s="28"/>
      <c r="AA9" s="36"/>
      <c r="AB9" s="37"/>
      <c r="AC9" s="37"/>
      <c r="AG9" s="38">
        <v>-1</v>
      </c>
      <c r="AH9" s="38">
        <f t="shared" ref="AH9:AO9" si="1">+AG9-1</f>
        <v>-2</v>
      </c>
      <c r="AI9" s="38">
        <f t="shared" si="1"/>
        <v>-3</v>
      </c>
      <c r="AJ9" s="38">
        <f t="shared" si="1"/>
        <v>-4</v>
      </c>
      <c r="AK9" s="38">
        <f t="shared" si="1"/>
        <v>-5</v>
      </c>
      <c r="AL9" s="38">
        <f t="shared" si="1"/>
        <v>-6</v>
      </c>
      <c r="AM9" s="38">
        <f t="shared" si="1"/>
        <v>-7</v>
      </c>
      <c r="AN9" s="38">
        <f t="shared" si="1"/>
        <v>-8</v>
      </c>
      <c r="AO9" s="38">
        <f t="shared" si="1"/>
        <v>-9</v>
      </c>
      <c r="AP9" s="31"/>
      <c r="AZ9" s="28"/>
      <c r="BA9" s="36"/>
      <c r="BB9" s="37"/>
      <c r="BC9" s="37"/>
      <c r="BG9" s="38">
        <v>-1</v>
      </c>
      <c r="BH9" s="38">
        <f t="shared" ref="BH9:BO9" si="2">+BG9-1</f>
        <v>-2</v>
      </c>
      <c r="BI9" s="38">
        <f t="shared" si="2"/>
        <v>-3</v>
      </c>
      <c r="BJ9" s="38">
        <f t="shared" si="2"/>
        <v>-4</v>
      </c>
      <c r="BK9" s="38">
        <f t="shared" si="2"/>
        <v>-5</v>
      </c>
      <c r="BL9" s="38">
        <f t="shared" si="2"/>
        <v>-6</v>
      </c>
      <c r="BM9" s="38">
        <f t="shared" si="2"/>
        <v>-7</v>
      </c>
      <c r="BN9" s="38">
        <f t="shared" si="2"/>
        <v>-8</v>
      </c>
      <c r="BO9" s="38">
        <f t="shared" si="2"/>
        <v>-9</v>
      </c>
      <c r="BP9" s="3"/>
    </row>
    <row r="10" spans="1:77" x14ac:dyDescent="0.3">
      <c r="A10" s="39"/>
      <c r="B10" s="40"/>
      <c r="C10" s="40"/>
      <c r="G10" s="36"/>
      <c r="H10" s="36"/>
      <c r="I10" s="36" t="s">
        <v>33</v>
      </c>
      <c r="J10" s="36" t="s">
        <v>33</v>
      </c>
      <c r="K10" s="36" t="s">
        <v>33</v>
      </c>
      <c r="L10" s="41" t="s">
        <v>34</v>
      </c>
      <c r="M10" s="42"/>
      <c r="N10" s="42"/>
      <c r="O10" s="41" t="s">
        <v>35</v>
      </c>
      <c r="P10" s="31"/>
      <c r="Z10" s="32"/>
      <c r="AA10" s="39"/>
      <c r="AB10" s="40"/>
      <c r="AC10" s="40"/>
      <c r="AG10" s="36"/>
      <c r="AH10" s="36"/>
      <c r="AI10" s="36" t="s">
        <v>33</v>
      </c>
      <c r="AJ10" s="36" t="s">
        <v>33</v>
      </c>
      <c r="AK10" s="36" t="s">
        <v>33</v>
      </c>
      <c r="AL10" s="41" t="s">
        <v>34</v>
      </c>
      <c r="AM10" s="42"/>
      <c r="AN10" s="42"/>
      <c r="AO10" s="41" t="s">
        <v>35</v>
      </c>
      <c r="AP10" s="31"/>
      <c r="AZ10" s="32"/>
      <c r="BA10" s="39"/>
      <c r="BB10" s="40"/>
      <c r="BC10" s="40"/>
      <c r="BG10" s="36"/>
      <c r="BH10" s="36"/>
      <c r="BI10" s="36" t="s">
        <v>33</v>
      </c>
      <c r="BJ10" s="36" t="s">
        <v>33</v>
      </c>
      <c r="BK10" s="36" t="s">
        <v>33</v>
      </c>
      <c r="BL10" s="41" t="s">
        <v>34</v>
      </c>
      <c r="BM10" s="42"/>
      <c r="BN10" s="42"/>
      <c r="BO10" s="41" t="s">
        <v>35</v>
      </c>
    </row>
    <row r="11" spans="1:77" x14ac:dyDescent="0.3">
      <c r="A11" s="39" t="s">
        <v>36</v>
      </c>
      <c r="B11" s="40"/>
      <c r="C11" s="40"/>
      <c r="G11" s="36" t="s">
        <v>37</v>
      </c>
      <c r="H11" s="36" t="s">
        <v>38</v>
      </c>
      <c r="I11" s="36" t="s">
        <v>39</v>
      </c>
      <c r="J11" s="43" t="s">
        <v>40</v>
      </c>
      <c r="K11" s="36" t="s">
        <v>41</v>
      </c>
      <c r="L11" s="41" t="s">
        <v>42</v>
      </c>
      <c r="M11" s="44" t="s">
        <v>43</v>
      </c>
      <c r="N11" s="45"/>
      <c r="O11" s="41" t="s">
        <v>44</v>
      </c>
      <c r="P11" s="31"/>
      <c r="S11" s="46" t="s">
        <v>45</v>
      </c>
      <c r="T11" s="47" t="s">
        <v>46</v>
      </c>
      <c r="U11" s="41" t="s">
        <v>42</v>
      </c>
      <c r="V11" s="47"/>
      <c r="Z11" s="32"/>
      <c r="AA11" s="39" t="s">
        <v>36</v>
      </c>
      <c r="AB11" s="40"/>
      <c r="AC11" s="40"/>
      <c r="AG11" s="36" t="s">
        <v>37</v>
      </c>
      <c r="AH11" s="36" t="s">
        <v>38</v>
      </c>
      <c r="AI11" s="36" t="s">
        <v>39</v>
      </c>
      <c r="AJ11" s="43" t="s">
        <v>40</v>
      </c>
      <c r="AK11" s="36" t="s">
        <v>41</v>
      </c>
      <c r="AL11" s="41" t="s">
        <v>42</v>
      </c>
      <c r="AM11" s="44" t="s">
        <v>43</v>
      </c>
      <c r="AN11" s="45"/>
      <c r="AO11" s="41" t="s">
        <v>44</v>
      </c>
      <c r="AP11" s="31"/>
      <c r="AS11" s="46" t="s">
        <v>45</v>
      </c>
      <c r="AT11" s="47" t="s">
        <v>46</v>
      </c>
      <c r="AU11" s="41" t="s">
        <v>42</v>
      </c>
      <c r="AZ11" s="32"/>
      <c r="BA11" s="39" t="s">
        <v>36</v>
      </c>
      <c r="BB11" s="40"/>
      <c r="BC11" s="40"/>
      <c r="BG11" s="36" t="s">
        <v>37</v>
      </c>
      <c r="BH11" s="36" t="s">
        <v>38</v>
      </c>
      <c r="BI11" s="36" t="s">
        <v>39</v>
      </c>
      <c r="BJ11" s="43" t="s">
        <v>40</v>
      </c>
      <c r="BK11" s="36" t="s">
        <v>41</v>
      </c>
      <c r="BL11" s="41" t="s">
        <v>42</v>
      </c>
      <c r="BM11" s="44" t="s">
        <v>43</v>
      </c>
      <c r="BN11" s="45"/>
      <c r="BO11" s="41" t="s">
        <v>44</v>
      </c>
      <c r="BS11" s="46" t="s">
        <v>45</v>
      </c>
      <c r="BT11" s="47" t="s">
        <v>46</v>
      </c>
      <c r="BU11" s="41" t="s">
        <v>42</v>
      </c>
    </row>
    <row r="12" spans="1:77" x14ac:dyDescent="0.3">
      <c r="A12" s="48" t="s">
        <v>47</v>
      </c>
      <c r="B12" s="49"/>
      <c r="C12" s="49"/>
      <c r="D12" s="8"/>
      <c r="E12" s="8"/>
      <c r="F12" s="8"/>
      <c r="G12" s="50" t="s">
        <v>48</v>
      </c>
      <c r="H12" s="50" t="s">
        <v>49</v>
      </c>
      <c r="I12" s="50" t="s">
        <v>50</v>
      </c>
      <c r="J12" s="50" t="s">
        <v>51</v>
      </c>
      <c r="K12" s="50" t="s">
        <v>52</v>
      </c>
      <c r="L12" s="51" t="s">
        <v>53</v>
      </c>
      <c r="M12" s="50" t="s">
        <v>54</v>
      </c>
      <c r="N12" s="50" t="s">
        <v>55</v>
      </c>
      <c r="O12" s="51"/>
      <c r="P12" s="31"/>
      <c r="S12" s="52" t="s">
        <v>56</v>
      </c>
      <c r="T12" s="53" t="s">
        <v>57</v>
      </c>
      <c r="U12" s="51" t="s">
        <v>58</v>
      </c>
      <c r="V12" s="54"/>
      <c r="Z12" s="32"/>
      <c r="AA12" s="48" t="s">
        <v>47</v>
      </c>
      <c r="AB12" s="49"/>
      <c r="AC12" s="49"/>
      <c r="AD12" s="8"/>
      <c r="AE12" s="8"/>
      <c r="AF12" s="8"/>
      <c r="AG12" s="50" t="s">
        <v>48</v>
      </c>
      <c r="AH12" s="50" t="s">
        <v>49</v>
      </c>
      <c r="AI12" s="50" t="s">
        <v>50</v>
      </c>
      <c r="AJ12" s="50" t="s">
        <v>51</v>
      </c>
      <c r="AK12" s="50" t="s">
        <v>52</v>
      </c>
      <c r="AL12" s="51" t="s">
        <v>53</v>
      </c>
      <c r="AM12" s="50" t="s">
        <v>54</v>
      </c>
      <c r="AN12" s="50" t="s">
        <v>55</v>
      </c>
      <c r="AO12" s="51"/>
      <c r="AP12" s="5"/>
      <c r="AS12" s="52" t="s">
        <v>56</v>
      </c>
      <c r="AT12" s="53" t="s">
        <v>57</v>
      </c>
      <c r="AU12" s="51" t="s">
        <v>58</v>
      </c>
      <c r="AZ12" s="32"/>
      <c r="BA12" s="48" t="s">
        <v>47</v>
      </c>
      <c r="BB12" s="49"/>
      <c r="BC12" s="49"/>
      <c r="BD12" s="8"/>
      <c r="BE12" s="8"/>
      <c r="BF12" s="8"/>
      <c r="BG12" s="50" t="s">
        <v>48</v>
      </c>
      <c r="BH12" s="50" t="s">
        <v>49</v>
      </c>
      <c r="BI12" s="50" t="s">
        <v>50</v>
      </c>
      <c r="BJ12" s="50" t="s">
        <v>51</v>
      </c>
      <c r="BK12" s="50" t="s">
        <v>52</v>
      </c>
      <c r="BL12" s="51" t="s">
        <v>53</v>
      </c>
      <c r="BM12" s="50" t="s">
        <v>54</v>
      </c>
      <c r="BN12" s="50" t="s">
        <v>55</v>
      </c>
      <c r="BO12" s="51"/>
      <c r="BP12" s="5"/>
      <c r="BS12" s="52" t="s">
        <v>56</v>
      </c>
      <c r="BT12" s="53" t="s">
        <v>57</v>
      </c>
      <c r="BU12" s="51" t="s">
        <v>58</v>
      </c>
    </row>
    <row r="13" spans="1:77" x14ac:dyDescent="0.3">
      <c r="A13" s="55">
        <v>1</v>
      </c>
      <c r="B13" s="56"/>
      <c r="C13" s="57" t="s">
        <v>59</v>
      </c>
      <c r="F13" s="58"/>
      <c r="G13" s="56"/>
      <c r="H13" s="348"/>
      <c r="I13" s="348"/>
      <c r="J13" s="348"/>
      <c r="K13" s="348"/>
      <c r="L13" s="59"/>
      <c r="M13" s="59"/>
      <c r="N13" s="59"/>
      <c r="O13" s="59"/>
      <c r="P13" s="5"/>
      <c r="S13" s="60"/>
      <c r="Z13" s="32"/>
      <c r="AA13" s="55">
        <v>1</v>
      </c>
      <c r="AB13" s="56"/>
      <c r="AC13" s="57" t="s">
        <v>59</v>
      </c>
      <c r="AF13" s="58"/>
      <c r="AG13" s="56"/>
      <c r="AH13" s="348"/>
      <c r="AI13" s="348"/>
      <c r="AJ13" s="348"/>
      <c r="AK13" s="348"/>
      <c r="AL13" s="59"/>
      <c r="AM13" s="59"/>
      <c r="AN13" s="59"/>
      <c r="AO13" s="59"/>
      <c r="AP13" s="5"/>
      <c r="AS13" s="60"/>
      <c r="AZ13" s="32"/>
      <c r="BA13" s="55">
        <v>1</v>
      </c>
      <c r="BB13" s="56"/>
      <c r="BC13" s="57" t="s">
        <v>59</v>
      </c>
      <c r="BF13" s="58"/>
      <c r="BG13" s="56"/>
      <c r="BH13" s="348"/>
      <c r="BI13" s="348"/>
      <c r="BJ13" s="348"/>
      <c r="BK13" s="348"/>
      <c r="BL13" s="59"/>
      <c r="BM13" s="59"/>
      <c r="BN13" s="59"/>
      <c r="BO13" s="59"/>
      <c r="BP13" s="5"/>
      <c r="BS13" s="60"/>
    </row>
    <row r="14" spans="1:77" x14ac:dyDescent="0.3">
      <c r="A14" s="61">
        <f>A13+1</f>
        <v>2</v>
      </c>
      <c r="B14" s="62"/>
      <c r="C14" s="63" t="s">
        <v>60</v>
      </c>
      <c r="G14" s="64">
        <f>+G16*'Procedures &amp; Inputs'!$K$217</f>
        <v>997465.20290087757</v>
      </c>
      <c r="H14" s="64">
        <f>+G14*H45</f>
        <v>629821.32017642877</v>
      </c>
      <c r="I14" s="64">
        <f>+G14*I45</f>
        <v>53330.004536482636</v>
      </c>
      <c r="J14" s="64">
        <f>+G14*J45</f>
        <v>3292.137515655962</v>
      </c>
      <c r="K14" s="64">
        <f>+G14*K45</f>
        <v>267882.93474006915</v>
      </c>
      <c r="L14" s="64">
        <f>U14+T14</f>
        <v>42784.671617807762</v>
      </c>
      <c r="M14" s="64">
        <f>+G14*M45</f>
        <v>354.13431443311146</v>
      </c>
      <c r="N14" s="64">
        <f>+G14*N45</f>
        <v>0</v>
      </c>
      <c r="O14" s="64">
        <f>+H14*O45</f>
        <v>0</v>
      </c>
      <c r="P14" s="5"/>
      <c r="S14" s="65">
        <f>SUM(H14:O14)-G14</f>
        <v>0</v>
      </c>
      <c r="T14" s="64">
        <f>+G14*T45</f>
        <v>2833.0745154648916</v>
      </c>
      <c r="U14" s="64">
        <f>+G14*U45</f>
        <v>39951.597102342872</v>
      </c>
      <c r="V14" s="64"/>
      <c r="Z14" s="32"/>
      <c r="AA14" s="61">
        <f>AA13+1</f>
        <v>2</v>
      </c>
      <c r="AB14" s="62"/>
      <c r="AC14" s="63" t="s">
        <v>60</v>
      </c>
      <c r="AG14" s="64">
        <f>+AG16*'Procedures &amp; Inputs'!$K$217</f>
        <v>980632.09062988381</v>
      </c>
      <c r="AH14" s="64">
        <f>+AG14*AH45</f>
        <v>613105.8925431628</v>
      </c>
      <c r="AI14" s="64">
        <f>+AG14*AI45</f>
        <v>53306.179814549854</v>
      </c>
      <c r="AJ14" s="64">
        <f>+AG14*AJ45</f>
        <v>3283.1562394288508</v>
      </c>
      <c r="AK14" s="64">
        <f>+AG14*AK45</f>
        <v>267677.25798669556</v>
      </c>
      <c r="AL14" s="64">
        <f>+AG14*AL45</f>
        <v>42916.382814326229</v>
      </c>
      <c r="AM14" s="64">
        <f>+AG14*AM45</f>
        <v>343.22123172045934</v>
      </c>
      <c r="AN14" s="64">
        <f>+AG14*AN45</f>
        <v>0</v>
      </c>
      <c r="AO14" s="64">
        <f>+AH14*AO45</f>
        <v>0</v>
      </c>
      <c r="AP14" s="5"/>
      <c r="AS14" s="65">
        <f>SUM(AH14:AO14)-AG14</f>
        <v>0</v>
      </c>
      <c r="AT14" s="64">
        <f>+AG14*AT45</f>
        <v>2847.915074433351</v>
      </c>
      <c r="AU14" s="64">
        <f>+AG14*AU45</f>
        <v>40068.582922235895</v>
      </c>
      <c r="AZ14" s="32"/>
      <c r="BA14" s="61">
        <f>BA13+1</f>
        <v>2</v>
      </c>
      <c r="BB14" s="62"/>
      <c r="BC14" s="63" t="s">
        <v>60</v>
      </c>
      <c r="BG14" s="64">
        <f>+BG16*'Procedures &amp; Inputs'!$K$217</f>
        <v>952366.93762915628</v>
      </c>
      <c r="BH14" s="64">
        <f>+BG14*BH45</f>
        <v>597433.74088542035</v>
      </c>
      <c r="BI14" s="64">
        <f>+BG14*BI45</f>
        <v>51535.36781759376</v>
      </c>
      <c r="BJ14" s="64">
        <f>+BG14*BJ45</f>
        <v>3188.942988712934</v>
      </c>
      <c r="BK14" s="64">
        <f>+BG14*BK45</f>
        <v>258714.2060842971</v>
      </c>
      <c r="BL14" s="64">
        <f>+BG14*BL45</f>
        <v>41161.697854310725</v>
      </c>
      <c r="BM14" s="64">
        <f>+BG14*BM45</f>
        <v>332.98199882143086</v>
      </c>
      <c r="BN14" s="64">
        <f>+BG14*BN45</f>
        <v>0</v>
      </c>
      <c r="BO14" s="64">
        <f>+BH14*BO45</f>
        <v>0</v>
      </c>
      <c r="BP14" s="5"/>
      <c r="BS14" s="65">
        <f>SUM(BH14:BO14)-BG14</f>
        <v>0</v>
      </c>
      <c r="BT14" s="64">
        <f>+BG14*BT45</f>
        <v>2727.8909903447993</v>
      </c>
      <c r="BU14" s="64">
        <f>+BG14*BU45</f>
        <v>38433.806863965925</v>
      </c>
    </row>
    <row r="15" spans="1:77" x14ac:dyDescent="0.3">
      <c r="A15" s="61">
        <f t="shared" ref="A15:A73" si="3">A14+1</f>
        <v>3</v>
      </c>
      <c r="B15" s="62"/>
      <c r="C15" s="63" t="s">
        <v>61</v>
      </c>
      <c r="F15" s="66"/>
      <c r="G15" s="40">
        <f t="shared" ref="G15:L15" si="4">+G16-G14</f>
        <v>332488.40096695919</v>
      </c>
      <c r="H15" s="40">
        <f>+H16-H14</f>
        <v>177086.64723901218</v>
      </c>
      <c r="I15" s="40">
        <f>+I16-I14</f>
        <v>18280.212285163419</v>
      </c>
      <c r="J15" s="40">
        <f t="shared" si="4"/>
        <v>1725.6148010185184</v>
      </c>
      <c r="K15" s="40">
        <f t="shared" si="4"/>
        <v>109717.84743508685</v>
      </c>
      <c r="L15" s="40">
        <f t="shared" si="4"/>
        <v>22901.801058604149</v>
      </c>
      <c r="M15" s="40">
        <f>+M16-M14</f>
        <v>2776.2781480741096</v>
      </c>
      <c r="N15" s="40">
        <f>+N16-N14</f>
        <v>0</v>
      </c>
      <c r="O15" s="40">
        <f>+O16-O14</f>
        <v>0</v>
      </c>
      <c r="P15" s="5"/>
      <c r="S15" s="65">
        <f t="shared" ref="S15:S29" si="5">SUM(H15:O15)-G15</f>
        <v>0</v>
      </c>
      <c r="T15" s="40">
        <f>+T16-T14</f>
        <v>1692.3659609218216</v>
      </c>
      <c r="U15" s="40">
        <f>+U16-U14</f>
        <v>21209.435097682326</v>
      </c>
      <c r="V15" s="40"/>
      <c r="Z15" s="32"/>
      <c r="AA15" s="61">
        <f t="shared" ref="AA15:AA73" si="6">+AA14+1</f>
        <v>3</v>
      </c>
      <c r="AB15" s="62"/>
      <c r="AC15" s="63" t="s">
        <v>61</v>
      </c>
      <c r="AF15" s="66"/>
      <c r="AG15" s="40">
        <f>+AG16-AG14</f>
        <v>326877.3635432946</v>
      </c>
      <c r="AH15" s="40">
        <f>+AH16-AH14</f>
        <v>171927.6869028667</v>
      </c>
      <c r="AI15" s="40">
        <f t="shared" ref="AI15:AK15" si="7">+AI16-AI14</f>
        <v>18223.413017538674</v>
      </c>
      <c r="AJ15" s="40">
        <f t="shared" si="7"/>
        <v>1722.6437058731622</v>
      </c>
      <c r="AK15" s="40">
        <f t="shared" si="7"/>
        <v>109330.67178432579</v>
      </c>
      <c r="AL15" s="40">
        <f>+AL16-AL14</f>
        <v>22917.371958020383</v>
      </c>
      <c r="AM15" s="40">
        <f>+AM16-AM14</f>
        <v>2755.5761746699736</v>
      </c>
      <c r="AN15" s="40">
        <f>+AN16-AN14</f>
        <v>0</v>
      </c>
      <c r="AO15" s="40">
        <f>+AO16-AO14</f>
        <v>0</v>
      </c>
      <c r="AP15" s="5"/>
      <c r="AS15" s="65">
        <f>SUM(AH15:AO15)-AG15</f>
        <v>0</v>
      </c>
      <c r="AT15" s="40">
        <f>+AT16-AT14</f>
        <v>1696.4935167896992</v>
      </c>
      <c r="AU15" s="40">
        <f>+AU16-AU14</f>
        <v>21220.878441230685</v>
      </c>
      <c r="AZ15" s="32"/>
      <c r="BA15" s="61">
        <f t="shared" ref="BA15:BA73" si="8">+BA14+1</f>
        <v>3</v>
      </c>
      <c r="BB15" s="62"/>
      <c r="BC15" s="63" t="s">
        <v>61</v>
      </c>
      <c r="BF15" s="66"/>
      <c r="BG15" s="40">
        <f t="shared" ref="BG15:BL15" si="9">+BG16-BG14</f>
        <v>317455.6458763855</v>
      </c>
      <c r="BH15" s="40">
        <f>+BH16-BH14</f>
        <v>167699.11949065933</v>
      </c>
      <c r="BI15" s="40">
        <f t="shared" si="9"/>
        <v>17644.184797809496</v>
      </c>
      <c r="BJ15" s="40">
        <f t="shared" si="9"/>
        <v>1676.1658102273154</v>
      </c>
      <c r="BK15" s="40">
        <f t="shared" si="9"/>
        <v>105769.87209309411</v>
      </c>
      <c r="BL15" s="40">
        <f t="shared" si="9"/>
        <v>21986.97803339846</v>
      </c>
      <c r="BM15" s="40">
        <f>+BM16-BM14</f>
        <v>2679.3256511966929</v>
      </c>
      <c r="BN15" s="40">
        <f>+BN16-BN14</f>
        <v>0</v>
      </c>
      <c r="BO15" s="40">
        <f>+BO16-BO14</f>
        <v>0</v>
      </c>
      <c r="BP15" s="5"/>
      <c r="BS15" s="65">
        <f t="shared" ref="BS15:BS29" si="10">SUM(BH15:BO15)-BG15</f>
        <v>0</v>
      </c>
      <c r="BT15" s="40">
        <f>+BT16-BT14</f>
        <v>1622.1983504283298</v>
      </c>
      <c r="BU15" s="40">
        <f>+BU16-BU14</f>
        <v>20364.779682970133</v>
      </c>
    </row>
    <row r="16" spans="1:77" x14ac:dyDescent="0.3">
      <c r="A16" s="61">
        <f t="shared" si="3"/>
        <v>4</v>
      </c>
      <c r="B16" s="62"/>
      <c r="C16" s="67" t="s">
        <v>62</v>
      </c>
      <c r="F16" s="3" t="s">
        <v>41</v>
      </c>
      <c r="G16" s="68">
        <f>'Procedures &amp; Inputs'!F30</f>
        <v>1329953.6038678368</v>
      </c>
      <c r="H16" s="69">
        <f>G16*H47</f>
        <v>806907.96741544094</v>
      </c>
      <c r="I16" s="69">
        <f>G16*I47</f>
        <v>71610.216821646056</v>
      </c>
      <c r="J16" s="69">
        <f>G16*J47</f>
        <v>5017.7523166744804</v>
      </c>
      <c r="K16" s="69">
        <f>G16*K47</f>
        <v>377600.782175156</v>
      </c>
      <c r="L16" s="69">
        <f>G16*L47</f>
        <v>65686.472676411911</v>
      </c>
      <c r="M16" s="69">
        <f>G16*M47</f>
        <v>3130.4124625072209</v>
      </c>
      <c r="N16" s="69">
        <f>G16*N47</f>
        <v>0</v>
      </c>
      <c r="O16" s="69">
        <f>H16*O47</f>
        <v>0</v>
      </c>
      <c r="P16" s="5"/>
      <c r="S16" s="70">
        <f t="shared" si="5"/>
        <v>0</v>
      </c>
      <c r="T16" s="68">
        <f>G16*T47</f>
        <v>4525.4404763867133</v>
      </c>
      <c r="U16" s="68">
        <f>G16*U47</f>
        <v>61161.032200025198</v>
      </c>
      <c r="V16" s="71"/>
      <c r="Z16" s="32"/>
      <c r="AA16" s="61">
        <f t="shared" si="6"/>
        <v>4</v>
      </c>
      <c r="AB16" s="62"/>
      <c r="AC16" s="67" t="s">
        <v>62</v>
      </c>
      <c r="AF16" s="3" t="s">
        <v>41</v>
      </c>
      <c r="AG16" s="68">
        <f>'Procedures &amp; Inputs'!F45</f>
        <v>1307509.4541731784</v>
      </c>
      <c r="AH16" s="69">
        <f>AG16*AH47</f>
        <v>785033.5794460295</v>
      </c>
      <c r="AI16" s="69">
        <f>AG16*AI47</f>
        <v>71529.592832088529</v>
      </c>
      <c r="AJ16" s="69">
        <f>AG16*AJ47</f>
        <v>5005.7999453020129</v>
      </c>
      <c r="AK16" s="69">
        <f>AG16*AK47</f>
        <v>377007.92977102136</v>
      </c>
      <c r="AL16" s="69">
        <f>AG16*AL47</f>
        <v>65833.754772346612</v>
      </c>
      <c r="AM16" s="69">
        <f>AG16*AM47</f>
        <v>3098.797406390433</v>
      </c>
      <c r="AN16" s="69">
        <f>AG16*AN47</f>
        <v>0</v>
      </c>
      <c r="AO16" s="69">
        <f>AH16*AO47</f>
        <v>0</v>
      </c>
      <c r="AP16" s="5"/>
      <c r="AS16" s="72">
        <f t="shared" ref="AS16:AS29" si="11">SUM(AH16:AO16)-AG16</f>
        <v>0</v>
      </c>
      <c r="AT16" s="68">
        <f>AG16*AT47</f>
        <v>4544.4085912230503</v>
      </c>
      <c r="AU16" s="68">
        <f>AG16*AU47</f>
        <v>61289.46136346658</v>
      </c>
      <c r="AZ16" s="32"/>
      <c r="BA16" s="61">
        <f t="shared" si="8"/>
        <v>4</v>
      </c>
      <c r="BB16" s="62"/>
      <c r="BC16" s="67" t="s">
        <v>62</v>
      </c>
      <c r="BF16" s="3" t="s">
        <v>41</v>
      </c>
      <c r="BG16" s="68">
        <f>'Procedures &amp; Inputs'!$F60</f>
        <v>1269822.5835055418</v>
      </c>
      <c r="BH16" s="69">
        <f>BG16*BH47</f>
        <v>765132.86037607968</v>
      </c>
      <c r="BI16" s="69">
        <f>BG16*BI47</f>
        <v>69179.552615403256</v>
      </c>
      <c r="BJ16" s="69">
        <f>BG16*BJ47</f>
        <v>4865.1087989402495</v>
      </c>
      <c r="BK16" s="69">
        <f>BG16*BK47</f>
        <v>364484.0781773912</v>
      </c>
      <c r="BL16" s="69">
        <f>BG16*BL47</f>
        <v>63148.675887709185</v>
      </c>
      <c r="BM16" s="69">
        <f>BG16*BM47</f>
        <v>3012.3076500181237</v>
      </c>
      <c r="BN16" s="69">
        <f>BG16*BN47</f>
        <v>0</v>
      </c>
      <c r="BO16" s="69">
        <f>BH16*BO47</f>
        <v>0</v>
      </c>
      <c r="BP16" s="73"/>
      <c r="BS16" s="72">
        <f t="shared" si="10"/>
        <v>0</v>
      </c>
      <c r="BT16" s="68">
        <f>BG16*BT47</f>
        <v>4350.0893407731292</v>
      </c>
      <c r="BU16" s="68">
        <f>BG16*BU47</f>
        <v>58798.586546936058</v>
      </c>
    </row>
    <row r="17" spans="1:73" x14ac:dyDescent="0.3">
      <c r="A17" s="61">
        <f t="shared" si="3"/>
        <v>5</v>
      </c>
      <c r="B17" s="62"/>
      <c r="C17" s="67" t="s">
        <v>63</v>
      </c>
      <c r="F17" s="3" t="s">
        <v>54</v>
      </c>
      <c r="G17" s="40">
        <f>'Procedures &amp; Inputs'!F31</f>
        <v>246943.36863605163</v>
      </c>
      <c r="H17" s="40">
        <f>'Procedures &amp; Inputs'!G31</f>
        <v>153564.51511521204</v>
      </c>
      <c r="I17" s="40">
        <f>'Procedures &amp; Inputs'!H31</f>
        <v>18722.299244140781</v>
      </c>
      <c r="J17" s="40">
        <f>'Procedures &amp; Inputs'!I31</f>
        <v>1031.5724855702119</v>
      </c>
      <c r="K17" s="40">
        <f>'Procedures &amp; Inputs'!J31</f>
        <v>61737.508276769338</v>
      </c>
      <c r="L17" s="40">
        <f>SUM(T17:U17)</f>
        <v>9580.7686044854472</v>
      </c>
      <c r="M17" s="40">
        <f>'Procedures &amp; Inputs'!M31</f>
        <v>2306.7043106321994</v>
      </c>
      <c r="N17" s="40">
        <f>'Procedures &amp; Inputs'!N31</f>
        <v>0</v>
      </c>
      <c r="O17" s="40">
        <f>'Procedures &amp; Inputs'!O31</f>
        <v>0</v>
      </c>
      <c r="P17" s="5"/>
      <c r="S17" s="74">
        <f>SUM(H17:O17)-G17</f>
        <v>-5.9924164088442922E-4</v>
      </c>
      <c r="T17" s="40">
        <f>'Procedures &amp; Inputs'!K31</f>
        <v>1005.5244631629732</v>
      </c>
      <c r="U17" s="40">
        <f>'Procedures &amp; Inputs'!L31</f>
        <v>8575.2441413224733</v>
      </c>
      <c r="V17" s="75"/>
      <c r="Z17" s="32"/>
      <c r="AA17" s="61">
        <f t="shared" si="6"/>
        <v>5</v>
      </c>
      <c r="AB17" s="62"/>
      <c r="AC17" s="67" t="s">
        <v>63</v>
      </c>
      <c r="AF17" s="3" t="s">
        <v>54</v>
      </c>
      <c r="AG17" s="40">
        <f>'Procedures &amp; Inputs'!F46</f>
        <v>230681.35527400469</v>
      </c>
      <c r="AH17" s="40">
        <f>'Procedures &amp; Inputs'!G46</f>
        <v>145722.91141300302</v>
      </c>
      <c r="AI17" s="40">
        <f>'Procedures &amp; Inputs'!H46</f>
        <v>17672.57234670352</v>
      </c>
      <c r="AJ17" s="40">
        <f>'Procedures &amp; Inputs'!I46</f>
        <v>944.10199187998217</v>
      </c>
      <c r="AK17" s="40">
        <f>'Procedures &amp; Inputs'!J46</f>
        <v>55695.168752239464</v>
      </c>
      <c r="AL17" s="40">
        <f t="shared" ref="AL17:AL27" si="12">SUM(AT17:AU17)</f>
        <v>8459.8250369513189</v>
      </c>
      <c r="AM17" s="40">
        <f>'Procedures &amp; Inputs'!M46</f>
        <v>2186.7751117902703</v>
      </c>
      <c r="AN17" s="40">
        <f>'Procedures &amp; Inputs'!N46</f>
        <v>0</v>
      </c>
      <c r="AO17" s="40">
        <f>'Procedures &amp; Inputs'!O46</f>
        <v>0</v>
      </c>
      <c r="AP17" s="5"/>
      <c r="AS17" s="65">
        <f t="shared" si="11"/>
        <v>-6.2143709510564804E-4</v>
      </c>
      <c r="AT17" s="40">
        <f>'Procedures &amp; Inputs'!K46</f>
        <v>920.54546915468995</v>
      </c>
      <c r="AU17" s="40">
        <f>'Procedures &amp; Inputs'!L46</f>
        <v>7539.2795677966296</v>
      </c>
      <c r="AZ17" s="32"/>
      <c r="BA17" s="61">
        <f t="shared" si="8"/>
        <v>5</v>
      </c>
      <c r="BB17" s="62"/>
      <c r="BC17" s="67" t="s">
        <v>63</v>
      </c>
      <c r="BF17" s="3" t="s">
        <v>54</v>
      </c>
      <c r="BG17" s="40">
        <f>'Procedures &amp; Inputs'!$F61</f>
        <v>231493.02467983344</v>
      </c>
      <c r="BH17" s="40">
        <f>'Procedures &amp; Inputs'!$G61</f>
        <v>146377.1202595332</v>
      </c>
      <c r="BI17" s="40">
        <f>'Procedures &amp; Inputs'!$H61</f>
        <v>17726.794036524239</v>
      </c>
      <c r="BJ17" s="40">
        <f>'Procedures &amp; Inputs'!$I61</f>
        <v>943.79560747798814</v>
      </c>
      <c r="BK17" s="40">
        <f>'Procedures &amp; Inputs'!$J61</f>
        <v>55846.652522411125</v>
      </c>
      <c r="BL17" s="40">
        <f>'Procedures &amp; Inputs'!$K61+'Procedures &amp; Inputs'!$L61</f>
        <v>8415.7282644724273</v>
      </c>
      <c r="BM17" s="40">
        <f>'Procedures &amp; Inputs'!$M61</f>
        <v>2182.9333421607871</v>
      </c>
      <c r="BN17" s="40">
        <f>'Procedures &amp; Inputs'!N61</f>
        <v>0</v>
      </c>
      <c r="BO17" s="40">
        <f>'Procedures &amp; Inputs'!O61</f>
        <v>0</v>
      </c>
      <c r="BP17" s="5"/>
      <c r="BS17" s="65">
        <f t="shared" si="10"/>
        <v>-6.4725373522378504E-4</v>
      </c>
      <c r="BT17" s="40">
        <f>'Procedures &amp; Inputs'!$K61</f>
        <v>913.98901821253139</v>
      </c>
      <c r="BU17" s="40">
        <f>'Procedures &amp; Inputs'!$L61</f>
        <v>7501.7392462598964</v>
      </c>
    </row>
    <row r="18" spans="1:73" x14ac:dyDescent="0.3">
      <c r="A18" s="61">
        <f t="shared" si="3"/>
        <v>6</v>
      </c>
      <c r="B18" s="62"/>
      <c r="C18" s="67" t="s">
        <v>64</v>
      </c>
      <c r="F18" s="3" t="s">
        <v>41</v>
      </c>
      <c r="G18" s="40">
        <f>'Procedures &amp; Inputs'!F32</f>
        <v>536668.49433264276</v>
      </c>
      <c r="H18" s="40">
        <f>'Procedures &amp; Inputs'!G32</f>
        <v>342284.71325039479</v>
      </c>
      <c r="I18" s="40">
        <f>'Procedures &amp; Inputs'!H32</f>
        <v>30447.659798721921</v>
      </c>
      <c r="J18" s="40">
        <f>'Procedures &amp; Inputs'!I32</f>
        <v>1761.6096463289778</v>
      </c>
      <c r="K18" s="40">
        <f>'Procedures &amp; Inputs'!J32</f>
        <v>140010.52086749912</v>
      </c>
      <c r="L18" s="40">
        <f t="shared" ref="L18:L27" si="13">SUM(T18:U18)</f>
        <v>21582.332058867039</v>
      </c>
      <c r="M18" s="40">
        <f>'Procedures &amp; Inputs'!M32</f>
        <v>581.65871083094009</v>
      </c>
      <c r="N18" s="40">
        <f>'Procedures &amp; Inputs'!N32</f>
        <v>0</v>
      </c>
      <c r="O18" s="40">
        <f>'Procedures &amp; Inputs'!O32</f>
        <v>0</v>
      </c>
      <c r="P18" s="5"/>
      <c r="S18" s="74">
        <f t="shared" si="5"/>
        <v>0</v>
      </c>
      <c r="T18" s="40">
        <f>'Procedures &amp; Inputs'!K32</f>
        <v>1527.7784443992766</v>
      </c>
      <c r="U18" s="40">
        <f>'Procedures &amp; Inputs'!L32</f>
        <v>20054.553614467764</v>
      </c>
      <c r="V18" s="75"/>
      <c r="Z18" s="32"/>
      <c r="AA18" s="61">
        <f t="shared" si="6"/>
        <v>6</v>
      </c>
      <c r="AB18" s="62"/>
      <c r="AC18" s="67" t="s">
        <v>64</v>
      </c>
      <c r="AF18" s="3" t="s">
        <v>41</v>
      </c>
      <c r="AG18" s="40">
        <f>'Procedures &amp; Inputs'!F47</f>
        <v>522484.11529087223</v>
      </c>
      <c r="AH18" s="40">
        <f>'Procedures &amp; Inputs'!G47</f>
        <v>330889.11589141208</v>
      </c>
      <c r="AI18" s="40">
        <f>'Procedures &amp; Inputs'!H47</f>
        <v>30046.217791771116</v>
      </c>
      <c r="AJ18" s="40">
        <f>'Procedures &amp; Inputs'!I47</f>
        <v>1733.4196970663081</v>
      </c>
      <c r="AK18" s="40">
        <f>'Procedures &amp; Inputs'!J47</f>
        <v>137905.60026078386</v>
      </c>
      <c r="AL18" s="40">
        <f t="shared" si="12"/>
        <v>21335.384079950589</v>
      </c>
      <c r="AM18" s="40">
        <f>'Procedures &amp; Inputs'!M47</f>
        <v>574.37756988846775</v>
      </c>
      <c r="AN18" s="40">
        <f>'Procedures &amp; Inputs'!N47</f>
        <v>0</v>
      </c>
      <c r="AO18" s="40">
        <f>'Procedures &amp; Inputs'!O47</f>
        <v>0</v>
      </c>
      <c r="AP18" s="5"/>
      <c r="AS18" s="65">
        <f>SUM(AH18:AO18)-AG18</f>
        <v>0</v>
      </c>
      <c r="AT18" s="40">
        <f>'Procedures &amp; Inputs'!K47</f>
        <v>1514.5730924877923</v>
      </c>
      <c r="AU18" s="40">
        <f>'Procedures &amp; Inputs'!L47</f>
        <v>19820.810987462795</v>
      </c>
      <c r="AZ18" s="32"/>
      <c r="BA18" s="61">
        <f t="shared" si="8"/>
        <v>6</v>
      </c>
      <c r="BB18" s="62"/>
      <c r="BC18" s="67" t="s">
        <v>64</v>
      </c>
      <c r="BF18" s="3" t="s">
        <v>41</v>
      </c>
      <c r="BG18" s="40">
        <f>'Procedures &amp; Inputs'!$F62</f>
        <v>498342.78542946064</v>
      </c>
      <c r="BH18" s="40">
        <f>'Procedures &amp; Inputs'!$G62</f>
        <v>316635.79285433213</v>
      </c>
      <c r="BI18" s="40">
        <f>'Procedures &amp; Inputs'!$H62</f>
        <v>28602.787749221796</v>
      </c>
      <c r="BJ18" s="40">
        <f>'Procedures &amp; Inputs'!$I62</f>
        <v>1652.8392885132428</v>
      </c>
      <c r="BK18" s="40">
        <f>'Procedures &amp; Inputs'!$J62</f>
        <v>130827.97125955047</v>
      </c>
      <c r="BL18" s="40">
        <f>'Procedures &amp; Inputs'!$K62+'Procedures &amp; Inputs'!$L62</f>
        <v>20063.877223177806</v>
      </c>
      <c r="BM18" s="40">
        <f>'Procedures &amp; Inputs'!$M62</f>
        <v>559.51705466514056</v>
      </c>
      <c r="BN18" s="40">
        <f>'Procedures &amp; Inputs'!N62</f>
        <v>0</v>
      </c>
      <c r="BO18" s="40">
        <f>'Procedures &amp; Inputs'!O62</f>
        <v>0</v>
      </c>
      <c r="BP18" s="5"/>
      <c r="BS18" s="65">
        <f t="shared" si="10"/>
        <v>0</v>
      </c>
      <c r="BT18" s="40">
        <f>'Procedures &amp; Inputs'!$K62</f>
        <v>1425.9548998999128</v>
      </c>
      <c r="BU18" s="40">
        <f>'Procedures &amp; Inputs'!$L62</f>
        <v>18637.922323277893</v>
      </c>
    </row>
    <row r="19" spans="1:73" x14ac:dyDescent="0.3">
      <c r="A19" s="61">
        <f t="shared" si="3"/>
        <v>7</v>
      </c>
      <c r="B19" s="62"/>
      <c r="C19" s="67" t="s">
        <v>65</v>
      </c>
      <c r="F19" s="3" t="s">
        <v>41</v>
      </c>
      <c r="G19" s="40">
        <f>'Procedures &amp; Inputs'!F33</f>
        <v>713267.77712359186</v>
      </c>
      <c r="H19" s="40">
        <f>'Procedures &amp; Inputs'!G33</f>
        <v>462539.45577887452</v>
      </c>
      <c r="I19" s="40">
        <f>'Procedures &amp; Inputs'!H33</f>
        <v>43192.873299155093</v>
      </c>
      <c r="J19" s="40">
        <f>'Procedures &amp; Inputs'!I33</f>
        <v>1979.0941133725619</v>
      </c>
      <c r="K19" s="40">
        <f>'Procedures &amp; Inputs'!J33</f>
        <v>179873.40465338965</v>
      </c>
      <c r="L19" s="40">
        <f t="shared" si="13"/>
        <v>19986.15474036138</v>
      </c>
      <c r="M19" s="40">
        <f>'Procedures &amp; Inputs'!M33</f>
        <v>5696.7945384387176</v>
      </c>
      <c r="N19" s="40">
        <f>'Procedures &amp; Inputs'!N33</f>
        <v>0</v>
      </c>
      <c r="O19" s="40">
        <f>'Procedures &amp; Inputs'!O33</f>
        <v>0</v>
      </c>
      <c r="P19" s="5"/>
      <c r="S19" s="74">
        <f t="shared" si="5"/>
        <v>0</v>
      </c>
      <c r="T19" s="40">
        <f>'Procedures &amp; Inputs'!K33</f>
        <v>2781.0302725648835</v>
      </c>
      <c r="U19" s="40">
        <f>'Procedures &amp; Inputs'!L33</f>
        <v>17205.124467796497</v>
      </c>
      <c r="V19" s="75"/>
      <c r="Z19" s="32"/>
      <c r="AA19" s="61">
        <f t="shared" si="6"/>
        <v>7</v>
      </c>
      <c r="AB19" s="62"/>
      <c r="AC19" s="67" t="s">
        <v>65</v>
      </c>
      <c r="AF19" s="3" t="s">
        <v>41</v>
      </c>
      <c r="AG19" s="40">
        <f>'Procedures &amp; Inputs'!F48</f>
        <v>683349.39375744178</v>
      </c>
      <c r="AH19" s="40">
        <f>'Procedures &amp; Inputs'!G48</f>
        <v>439991.58480404277</v>
      </c>
      <c r="AI19" s="40">
        <f>'Procedures &amp; Inputs'!H48</f>
        <v>41924.858833237835</v>
      </c>
      <c r="AJ19" s="40">
        <f>'Procedures &amp; Inputs'!I48</f>
        <v>1917.9956859587007</v>
      </c>
      <c r="AK19" s="40">
        <f>'Procedures &amp; Inputs'!J48</f>
        <v>174539.18214802328</v>
      </c>
      <c r="AL19" s="40">
        <f t="shared" si="12"/>
        <v>19477.348038747976</v>
      </c>
      <c r="AM19" s="40">
        <f>'Procedures &amp; Inputs'!M48</f>
        <v>5498.4242474311131</v>
      </c>
      <c r="AN19" s="40">
        <f>'Procedures &amp; Inputs'!N48</f>
        <v>0</v>
      </c>
      <c r="AO19" s="40">
        <f>'Procedures &amp; Inputs'!O48</f>
        <v>0</v>
      </c>
      <c r="AP19" s="5"/>
      <c r="AS19" s="65">
        <f t="shared" si="11"/>
        <v>0</v>
      </c>
      <c r="AT19" s="40">
        <f>'Procedures &amp; Inputs'!K48</f>
        <v>2710.7837716638783</v>
      </c>
      <c r="AU19" s="40">
        <f>'Procedures &amp; Inputs'!L48</f>
        <v>16766.564267084097</v>
      </c>
      <c r="AZ19" s="32"/>
      <c r="BA19" s="61">
        <f t="shared" si="8"/>
        <v>7</v>
      </c>
      <c r="BB19" s="62"/>
      <c r="BC19" s="67" t="s">
        <v>65</v>
      </c>
      <c r="BF19" s="3" t="s">
        <v>41</v>
      </c>
      <c r="BG19" s="40">
        <f>'Procedures &amp; Inputs'!$F63</f>
        <v>655334.02811059321</v>
      </c>
      <c r="BH19" s="40">
        <f>'Procedures &amp; Inputs'!$G63</f>
        <v>423295.27675026871</v>
      </c>
      <c r="BI19" s="40">
        <f>'Procedures &amp; Inputs'!$H63</f>
        <v>40112.324300610402</v>
      </c>
      <c r="BJ19" s="40">
        <f>'Procedures &amp; Inputs'!$I63</f>
        <v>1841.3097985594386</v>
      </c>
      <c r="BK19" s="40">
        <f>'Procedures &amp; Inputs'!$J63</f>
        <v>166382.54197585006</v>
      </c>
      <c r="BL19" s="40">
        <f>'Procedures &amp; Inputs'!$K63+'Procedures &amp; Inputs'!$L63</f>
        <v>18453.89119802737</v>
      </c>
      <c r="BM19" s="40">
        <f>'Procedures &amp; Inputs'!$M63</f>
        <v>5248.6840872770745</v>
      </c>
      <c r="BN19" s="40">
        <f>'Procedures &amp; Inputs'!N63</f>
        <v>0</v>
      </c>
      <c r="BO19" s="40">
        <f>'Procedures &amp; Inputs'!O63</f>
        <v>0</v>
      </c>
      <c r="BP19" s="5"/>
      <c r="BS19" s="65">
        <f t="shared" si="10"/>
        <v>0</v>
      </c>
      <c r="BT19" s="40">
        <f>'Procedures &amp; Inputs'!$K63</f>
        <v>2557.0825331135397</v>
      </c>
      <c r="BU19" s="40">
        <f>'Procedures &amp; Inputs'!$L63</f>
        <v>15896.808664913829</v>
      </c>
    </row>
    <row r="20" spans="1:73" x14ac:dyDescent="0.3">
      <c r="A20" s="61">
        <f t="shared" si="3"/>
        <v>8</v>
      </c>
      <c r="B20" s="62"/>
      <c r="C20" s="67" t="s">
        <v>66</v>
      </c>
      <c r="F20" s="3" t="s">
        <v>67</v>
      </c>
      <c r="G20" s="40">
        <f>'Procedures &amp; Inputs'!F34</f>
        <v>0</v>
      </c>
      <c r="H20" s="40">
        <f>'Procedures &amp; Inputs'!G34</f>
        <v>0</v>
      </c>
      <c r="I20" s="40">
        <f>'Procedures &amp; Inputs'!H34</f>
        <v>0</v>
      </c>
      <c r="J20" s="40">
        <f>'Procedures &amp; Inputs'!I34</f>
        <v>0</v>
      </c>
      <c r="K20" s="40">
        <f>'Procedures &amp; Inputs'!J34</f>
        <v>0</v>
      </c>
      <c r="L20" s="40">
        <f t="shared" si="13"/>
        <v>0</v>
      </c>
      <c r="M20" s="40">
        <f>'Procedures &amp; Inputs'!M34</f>
        <v>0</v>
      </c>
      <c r="N20" s="40">
        <f>'Procedures &amp; Inputs'!N34</f>
        <v>0</v>
      </c>
      <c r="O20" s="40">
        <f>'Procedures &amp; Inputs'!O34</f>
        <v>0</v>
      </c>
      <c r="P20" s="5"/>
      <c r="S20" s="74">
        <f t="shared" si="5"/>
        <v>0</v>
      </c>
      <c r="T20" s="40">
        <f>'Procedures &amp; Inputs'!K34</f>
        <v>0</v>
      </c>
      <c r="U20" s="40">
        <f>'Procedures &amp; Inputs'!L34</f>
        <v>0</v>
      </c>
      <c r="V20" s="75"/>
      <c r="Z20" s="32"/>
      <c r="AA20" s="61">
        <f t="shared" si="6"/>
        <v>8</v>
      </c>
      <c r="AB20" s="62"/>
      <c r="AC20" s="67" t="s">
        <v>66</v>
      </c>
      <c r="AF20" s="3" t="s">
        <v>67</v>
      </c>
      <c r="AG20" s="40">
        <f>'Procedures &amp; Inputs'!F49</f>
        <v>0</v>
      </c>
      <c r="AH20" s="40">
        <f>'Procedures &amp; Inputs'!G49</f>
        <v>0</v>
      </c>
      <c r="AI20" s="40">
        <f>'Procedures &amp; Inputs'!H49</f>
        <v>0</v>
      </c>
      <c r="AJ20" s="40">
        <f>'Procedures &amp; Inputs'!I49</f>
        <v>0</v>
      </c>
      <c r="AK20" s="40">
        <f>'Procedures &amp; Inputs'!J49</f>
        <v>0</v>
      </c>
      <c r="AL20" s="40">
        <f t="shared" si="12"/>
        <v>0</v>
      </c>
      <c r="AM20" s="40">
        <f>'Procedures &amp; Inputs'!M49</f>
        <v>0</v>
      </c>
      <c r="AN20" s="40">
        <f>'Procedures &amp; Inputs'!N49</f>
        <v>0</v>
      </c>
      <c r="AO20" s="40">
        <f>'Procedures &amp; Inputs'!O49</f>
        <v>0</v>
      </c>
      <c r="AP20" s="5"/>
      <c r="AS20" s="65">
        <f t="shared" si="11"/>
        <v>0</v>
      </c>
      <c r="AT20" s="40">
        <f>'Procedures &amp; Inputs'!K49</f>
        <v>0</v>
      </c>
      <c r="AU20" s="40">
        <f>'Procedures &amp; Inputs'!L49</f>
        <v>0</v>
      </c>
      <c r="AZ20" s="32"/>
      <c r="BA20" s="61">
        <f t="shared" si="8"/>
        <v>8</v>
      </c>
      <c r="BB20" s="62"/>
      <c r="BC20" s="67" t="s">
        <v>66</v>
      </c>
      <c r="BF20" s="3" t="s">
        <v>67</v>
      </c>
      <c r="BG20" s="40">
        <f>'Procedures &amp; Inputs'!$F64</f>
        <v>0</v>
      </c>
      <c r="BH20" s="40">
        <f>'Procedures &amp; Inputs'!$G64</f>
        <v>0</v>
      </c>
      <c r="BI20" s="40">
        <f>'Procedures &amp; Inputs'!$H64</f>
        <v>0</v>
      </c>
      <c r="BJ20" s="40">
        <f>'Procedures &amp; Inputs'!$I64</f>
        <v>0</v>
      </c>
      <c r="BK20" s="40">
        <f>'Procedures &amp; Inputs'!$J64</f>
        <v>0</v>
      </c>
      <c r="BL20" s="40">
        <f>'Procedures &amp; Inputs'!$K64+'Procedures &amp; Inputs'!$L64</f>
        <v>0</v>
      </c>
      <c r="BM20" s="40">
        <f>'Procedures &amp; Inputs'!$M64</f>
        <v>0</v>
      </c>
      <c r="BN20" s="40">
        <f>'Procedures &amp; Inputs'!N64</f>
        <v>0</v>
      </c>
      <c r="BO20" s="40">
        <f>'Procedures &amp; Inputs'!O64</f>
        <v>0</v>
      </c>
      <c r="BP20" s="5"/>
      <c r="BS20" s="65">
        <f t="shared" si="10"/>
        <v>0</v>
      </c>
      <c r="BT20" s="40">
        <f>'Procedures &amp; Inputs'!$K64</f>
        <v>0</v>
      </c>
      <c r="BU20" s="40">
        <f>'Procedures &amp; Inputs'!$L64</f>
        <v>0</v>
      </c>
    </row>
    <row r="21" spans="1:73" x14ac:dyDescent="0.3">
      <c r="A21" s="61">
        <f t="shared" si="3"/>
        <v>9</v>
      </c>
      <c r="B21" s="62"/>
      <c r="C21" s="67" t="s">
        <v>68</v>
      </c>
      <c r="F21" s="3" t="s">
        <v>41</v>
      </c>
      <c r="G21" s="40">
        <f>'Procedures &amp; Inputs'!F35</f>
        <v>287770.12273699581</v>
      </c>
      <c r="H21" s="40">
        <f>'Procedures &amp; Inputs'!G35</f>
        <v>212501.14080236614</v>
      </c>
      <c r="I21" s="40">
        <f>'Procedures &amp; Inputs'!H35</f>
        <v>18509.178856753912</v>
      </c>
      <c r="J21" s="40">
        <f>'Procedures &amp; Inputs'!I35</f>
        <v>478.09110347843773</v>
      </c>
      <c r="K21" s="40">
        <f>'Procedures &amp; Inputs'!J35</f>
        <v>45463.432000444969</v>
      </c>
      <c r="L21" s="40">
        <f t="shared" si="13"/>
        <v>2664.4199699225906</v>
      </c>
      <c r="M21" s="40">
        <f>'Procedures &amp; Inputs'!M35</f>
        <v>1217.0710941162718</v>
      </c>
      <c r="N21" s="40">
        <f>'Procedures &amp; Inputs'!N35</f>
        <v>0</v>
      </c>
      <c r="O21" s="40">
        <f>'Procedures &amp; Inputs'!O35</f>
        <v>6936.7889099135682</v>
      </c>
      <c r="P21" s="5"/>
      <c r="S21" s="74">
        <f t="shared" si="5"/>
        <v>0</v>
      </c>
      <c r="T21" s="40">
        <f>'Procedures &amp; Inputs'!K35</f>
        <v>165.4016085715308</v>
      </c>
      <c r="U21" s="40">
        <f>'Procedures &amp; Inputs'!L35</f>
        <v>2499.0183613510599</v>
      </c>
      <c r="V21" s="75"/>
      <c r="Z21" s="32"/>
      <c r="AA21" s="61">
        <f t="shared" si="6"/>
        <v>9</v>
      </c>
      <c r="AB21" s="62"/>
      <c r="AC21" s="67" t="s">
        <v>68</v>
      </c>
      <c r="AF21" s="3" t="s">
        <v>41</v>
      </c>
      <c r="AG21" s="40">
        <f>'Procedures &amp; Inputs'!F50</f>
        <v>276970.59591652796</v>
      </c>
      <c r="AH21" s="40">
        <f>'Procedures &amp; Inputs'!G50</f>
        <v>203996.11856132973</v>
      </c>
      <c r="AI21" s="40">
        <f>'Procedures &amp; Inputs'!H50</f>
        <v>18146.314472985599</v>
      </c>
      <c r="AJ21" s="40">
        <f>'Procedures &amp; Inputs'!I50</f>
        <v>469.3092754817539</v>
      </c>
      <c r="AK21" s="40">
        <f>'Procedures &amp; Inputs'!J50</f>
        <v>44590.56620374776</v>
      </c>
      <c r="AL21" s="40">
        <f t="shared" si="12"/>
        <v>2639.3983329379339</v>
      </c>
      <c r="AM21" s="40">
        <f>'Procedures &amp; Inputs'!M50</f>
        <v>1189.168326633609</v>
      </c>
      <c r="AN21" s="40">
        <f>'Procedures &amp; Inputs'!N50</f>
        <v>0</v>
      </c>
      <c r="AO21" s="40">
        <f>'Procedures &amp; Inputs'!O50</f>
        <v>5939.7207434116463</v>
      </c>
      <c r="AP21" s="5"/>
      <c r="AS21" s="65">
        <f t="shared" si="11"/>
        <v>0</v>
      </c>
      <c r="AT21" s="40">
        <f>'Procedures &amp; Inputs'!K50</f>
        <v>164.85562979391048</v>
      </c>
      <c r="AU21" s="40">
        <f>'Procedures &amp; Inputs'!L50</f>
        <v>2474.5427031440236</v>
      </c>
      <c r="AZ21" s="32"/>
      <c r="BA21" s="61">
        <f t="shared" si="8"/>
        <v>9</v>
      </c>
      <c r="BB21" s="62"/>
      <c r="BC21" s="67" t="s">
        <v>68</v>
      </c>
      <c r="BF21" s="3" t="s">
        <v>41</v>
      </c>
      <c r="BG21" s="40">
        <f>'Procedures &amp; Inputs'!$F65</f>
        <v>269421.87781901477</v>
      </c>
      <c r="BH21" s="40">
        <f>'Procedures &amp; Inputs'!$G65</f>
        <v>199214.95178887981</v>
      </c>
      <c r="BI21" s="40">
        <f>'Procedures &amp; Inputs'!$H65</f>
        <v>17630.846949121955</v>
      </c>
      <c r="BJ21" s="40">
        <f>'Procedures &amp; Inputs'!$I65</f>
        <v>460.42404834418301</v>
      </c>
      <c r="BK21" s="40">
        <f>'Procedures &amp; Inputs'!$J65</f>
        <v>43427.313046918076</v>
      </c>
      <c r="BL21" s="40">
        <f>'Procedures &amp; Inputs'!$K65+'Procedures &amp; Inputs'!$L65</f>
        <v>2588.4991091133111</v>
      </c>
      <c r="BM21" s="40">
        <f>'Procedures &amp; Inputs'!$M65</f>
        <v>1157.4221646361007</v>
      </c>
      <c r="BN21" s="40">
        <f>'Procedures &amp; Inputs'!N65</f>
        <v>0</v>
      </c>
      <c r="BO21" s="40">
        <f>'Procedures &amp; Inputs'!O65</f>
        <v>4942.4207120013889</v>
      </c>
      <c r="BP21" s="5"/>
      <c r="BS21" s="65">
        <f t="shared" si="10"/>
        <v>0</v>
      </c>
      <c r="BT21" s="40">
        <f>'Procedures &amp; Inputs'!$K65</f>
        <v>163.93436811668732</v>
      </c>
      <c r="BU21" s="40">
        <f>'Procedures &amp; Inputs'!$L65</f>
        <v>2424.5647409966236</v>
      </c>
    </row>
    <row r="22" spans="1:73" x14ac:dyDescent="0.3">
      <c r="A22" s="61">
        <f t="shared" si="3"/>
        <v>10</v>
      </c>
      <c r="B22" s="62"/>
      <c r="C22" s="67" t="s">
        <v>69</v>
      </c>
      <c r="F22" s="3" t="s">
        <v>67</v>
      </c>
      <c r="G22" s="40">
        <f>'Procedures &amp; Inputs'!F36</f>
        <v>0</v>
      </c>
      <c r="H22" s="40">
        <f>'Procedures &amp; Inputs'!G36</f>
        <v>0</v>
      </c>
      <c r="I22" s="40">
        <f>'Procedures &amp; Inputs'!H36</f>
        <v>0</v>
      </c>
      <c r="J22" s="40">
        <f>'Procedures &amp; Inputs'!I36</f>
        <v>0</v>
      </c>
      <c r="K22" s="40">
        <f>'Procedures &amp; Inputs'!J36</f>
        <v>0</v>
      </c>
      <c r="L22" s="40">
        <f t="shared" si="13"/>
        <v>0</v>
      </c>
      <c r="M22" s="40">
        <f>'Procedures &amp; Inputs'!M36</f>
        <v>0</v>
      </c>
      <c r="N22" s="40">
        <f>'Procedures &amp; Inputs'!N36</f>
        <v>0</v>
      </c>
      <c r="O22" s="40">
        <f>'Procedures &amp; Inputs'!O36</f>
        <v>0</v>
      </c>
      <c r="P22" s="5"/>
      <c r="S22" s="74">
        <f t="shared" si="5"/>
        <v>0</v>
      </c>
      <c r="T22" s="40">
        <f>'Procedures &amp; Inputs'!K36</f>
        <v>0</v>
      </c>
      <c r="U22" s="40">
        <f>'Procedures &amp; Inputs'!L36</f>
        <v>0</v>
      </c>
      <c r="V22" s="75"/>
      <c r="Z22" s="32"/>
      <c r="AA22" s="61">
        <f t="shared" si="6"/>
        <v>10</v>
      </c>
      <c r="AB22" s="62"/>
      <c r="AC22" s="67" t="s">
        <v>69</v>
      </c>
      <c r="AF22" s="3" t="s">
        <v>67</v>
      </c>
      <c r="AG22" s="40">
        <f>'Procedures &amp; Inputs'!F51</f>
        <v>0</v>
      </c>
      <c r="AH22" s="40">
        <f>'Procedures &amp; Inputs'!G51</f>
        <v>0</v>
      </c>
      <c r="AI22" s="40">
        <f>'Procedures &amp; Inputs'!H51</f>
        <v>0</v>
      </c>
      <c r="AJ22" s="40">
        <f>'Procedures &amp; Inputs'!I51</f>
        <v>0</v>
      </c>
      <c r="AK22" s="40">
        <f>'Procedures &amp; Inputs'!J51</f>
        <v>0</v>
      </c>
      <c r="AL22" s="40">
        <f t="shared" si="12"/>
        <v>0</v>
      </c>
      <c r="AM22" s="40">
        <f>'Procedures &amp; Inputs'!M51</f>
        <v>0</v>
      </c>
      <c r="AN22" s="40">
        <f>'Procedures &amp; Inputs'!N51</f>
        <v>0</v>
      </c>
      <c r="AO22" s="40">
        <f>'Procedures &amp; Inputs'!O51</f>
        <v>0</v>
      </c>
      <c r="AP22" s="5"/>
      <c r="AS22" s="65">
        <f t="shared" si="11"/>
        <v>0</v>
      </c>
      <c r="AT22" s="40">
        <f>'Procedures &amp; Inputs'!K51</f>
        <v>0</v>
      </c>
      <c r="AU22" s="40">
        <f>'Procedures &amp; Inputs'!L51</f>
        <v>0</v>
      </c>
      <c r="AZ22" s="32"/>
      <c r="BA22" s="61">
        <f t="shared" si="8"/>
        <v>10</v>
      </c>
      <c r="BB22" s="62"/>
      <c r="BC22" s="67" t="s">
        <v>69</v>
      </c>
      <c r="BF22" s="3" t="s">
        <v>67</v>
      </c>
      <c r="BG22" s="40">
        <f>'Procedures &amp; Inputs'!$F66</f>
        <v>0</v>
      </c>
      <c r="BH22" s="40">
        <f>'Procedures &amp; Inputs'!$G66</f>
        <v>0</v>
      </c>
      <c r="BI22" s="40">
        <f>'Procedures &amp; Inputs'!$H66</f>
        <v>0</v>
      </c>
      <c r="BJ22" s="40">
        <f>'Procedures &amp; Inputs'!$I66</f>
        <v>0</v>
      </c>
      <c r="BK22" s="40">
        <f>'Procedures &amp; Inputs'!$J66</f>
        <v>0</v>
      </c>
      <c r="BL22" s="40">
        <f>'Procedures &amp; Inputs'!$K66+'Procedures &amp; Inputs'!$L66</f>
        <v>0</v>
      </c>
      <c r="BM22" s="40">
        <f>'Procedures &amp; Inputs'!$M66</f>
        <v>0</v>
      </c>
      <c r="BN22" s="40">
        <f>'Procedures &amp; Inputs'!N66</f>
        <v>0</v>
      </c>
      <c r="BO22" s="40">
        <f>'Procedures &amp; Inputs'!O66</f>
        <v>0</v>
      </c>
      <c r="BP22" s="5"/>
      <c r="BS22" s="65">
        <f t="shared" si="10"/>
        <v>0</v>
      </c>
      <c r="BT22" s="40">
        <f>'Procedures &amp; Inputs'!$K66</f>
        <v>0</v>
      </c>
      <c r="BU22" s="40">
        <f>'Procedures &amp; Inputs'!$L66</f>
        <v>0</v>
      </c>
    </row>
    <row r="23" spans="1:73" x14ac:dyDescent="0.3">
      <c r="A23" s="61">
        <f t="shared" si="3"/>
        <v>11</v>
      </c>
      <c r="B23" s="62"/>
      <c r="C23" s="67" t="s">
        <v>70</v>
      </c>
      <c r="F23" s="3" t="s">
        <v>67</v>
      </c>
      <c r="G23" s="40">
        <f>'Procedures &amp; Inputs'!F37</f>
        <v>59827.400936445505</v>
      </c>
      <c r="H23" s="40">
        <f>'Procedures &amp; Inputs'!G37</f>
        <v>48709.572613576573</v>
      </c>
      <c r="I23" s="40">
        <f>'Procedures &amp; Inputs'!H37</f>
        <v>3915.3215833472432</v>
      </c>
      <c r="J23" s="40">
        <f>'Procedures &amp; Inputs'!I37</f>
        <v>361.03242744877957</v>
      </c>
      <c r="K23" s="40">
        <f>'Procedures &amp; Inputs'!J37</f>
        <v>4925.4890353211795</v>
      </c>
      <c r="L23" s="40">
        <f t="shared" si="13"/>
        <v>500.92805457004914</v>
      </c>
      <c r="M23" s="40">
        <f>'Procedures &amp; Inputs'!M37</f>
        <v>1415.0572221816876</v>
      </c>
      <c r="N23" s="40">
        <f>'Procedures &amp; Inputs'!N37</f>
        <v>0</v>
      </c>
      <c r="O23" s="40">
        <f>'Procedures &amp; Inputs'!O37</f>
        <v>0</v>
      </c>
      <c r="P23" s="5"/>
      <c r="S23" s="74">
        <f t="shared" si="5"/>
        <v>0</v>
      </c>
      <c r="T23" s="40">
        <f>'Procedures &amp; Inputs'!K37</f>
        <v>49.188495397979146</v>
      </c>
      <c r="U23" s="40">
        <f>'Procedures &amp; Inputs'!L37</f>
        <v>451.73955917207002</v>
      </c>
      <c r="V23" s="75"/>
      <c r="Z23" s="32"/>
      <c r="AA23" s="61">
        <f t="shared" si="6"/>
        <v>11</v>
      </c>
      <c r="AB23" s="62"/>
      <c r="AC23" s="67" t="s">
        <v>70</v>
      </c>
      <c r="AF23" s="3" t="s">
        <v>67</v>
      </c>
      <c r="AG23" s="40">
        <f>'Procedures &amp; Inputs'!F52</f>
        <v>57053.775733731796</v>
      </c>
      <c r="AH23" s="40">
        <f>'Procedures &amp; Inputs'!G52</f>
        <v>46303.000061405568</v>
      </c>
      <c r="AI23" s="40">
        <f>'Procedures &amp; Inputs'!H52</f>
        <v>3746.2872747259817</v>
      </c>
      <c r="AJ23" s="40">
        <f>'Procedures &amp; Inputs'!I52</f>
        <v>343.16156052031977</v>
      </c>
      <c r="AK23" s="40">
        <f>'Procedures &amp; Inputs'!J52</f>
        <v>4829.6241922710105</v>
      </c>
      <c r="AL23" s="40">
        <f t="shared" si="12"/>
        <v>499.121786835737</v>
      </c>
      <c r="AM23" s="40">
        <f>'Procedures &amp; Inputs'!M52</f>
        <v>1332.5808579731904</v>
      </c>
      <c r="AN23" s="40">
        <f>'Procedures &amp; Inputs'!N52</f>
        <v>0</v>
      </c>
      <c r="AO23" s="40">
        <f>'Procedures &amp; Inputs'!O52</f>
        <v>0</v>
      </c>
      <c r="AP23" s="5"/>
      <c r="AS23" s="65">
        <f t="shared" si="11"/>
        <v>0</v>
      </c>
      <c r="AT23" s="40">
        <f>'Procedures &amp; Inputs'!K52</f>
        <v>49.026353135605994</v>
      </c>
      <c r="AU23" s="40">
        <f>'Procedures &amp; Inputs'!L52</f>
        <v>450.09543370013103</v>
      </c>
      <c r="AZ23" s="32"/>
      <c r="BA23" s="61">
        <f t="shared" si="8"/>
        <v>11</v>
      </c>
      <c r="BB23" s="62"/>
      <c r="BC23" s="67" t="s">
        <v>70</v>
      </c>
      <c r="BF23" s="3" t="s">
        <v>67</v>
      </c>
      <c r="BG23" s="40">
        <f>'Procedures &amp; Inputs'!$F67</f>
        <v>55397.266023121891</v>
      </c>
      <c r="BH23" s="40">
        <f>'Procedures &amp; Inputs'!$G67</f>
        <v>44834.439695168585</v>
      </c>
      <c r="BI23" s="40">
        <f>'Procedures &amp; Inputs'!$H67</f>
        <v>3651.7287090011323</v>
      </c>
      <c r="BJ23" s="40">
        <f>'Procedures &amp; Inputs'!$I67</f>
        <v>332.82480092359231</v>
      </c>
      <c r="BK23" s="40">
        <f>'Procedures &amp; Inputs'!$J67</f>
        <v>4800.0614431898684</v>
      </c>
      <c r="BL23" s="40">
        <f>'Procedures &amp; Inputs'!$K67+'Procedures &amp; Inputs'!$L67</f>
        <v>496.65678721542116</v>
      </c>
      <c r="BM23" s="40">
        <f>'Procedures &amp; Inputs'!$M67</f>
        <v>1281.5545876232909</v>
      </c>
      <c r="BN23" s="40">
        <f>'Procedures &amp; Inputs'!N67</f>
        <v>0</v>
      </c>
      <c r="BO23" s="40">
        <f>'Procedures &amp; Inputs'!O67</f>
        <v>0</v>
      </c>
      <c r="BP23" s="5"/>
      <c r="BS23" s="65">
        <f t="shared" si="10"/>
        <v>0</v>
      </c>
      <c r="BT23" s="40">
        <f>'Procedures &amp; Inputs'!$K67</f>
        <v>48.743087139477325</v>
      </c>
      <c r="BU23" s="40">
        <f>'Procedures &amp; Inputs'!$L67</f>
        <v>447.91370007594384</v>
      </c>
    </row>
    <row r="24" spans="1:73" x14ac:dyDescent="0.3">
      <c r="A24" s="61">
        <f t="shared" si="3"/>
        <v>12</v>
      </c>
      <c r="B24" s="62"/>
      <c r="C24" s="67" t="s">
        <v>71</v>
      </c>
      <c r="F24" s="3" t="s">
        <v>67</v>
      </c>
      <c r="G24" s="40">
        <f>'Procedures &amp; Inputs'!F38</f>
        <v>88074.899637785435</v>
      </c>
      <c r="H24" s="40">
        <f>'Procedures &amp; Inputs'!G38</f>
        <v>68513.31285124</v>
      </c>
      <c r="I24" s="40">
        <f>'Procedures &amp; Inputs'!H38</f>
        <v>7007.9663319347555</v>
      </c>
      <c r="J24" s="40">
        <f>'Procedures &amp; Inputs'!I38</f>
        <v>546.07129651212426</v>
      </c>
      <c r="K24" s="40">
        <f>'Procedures &amp; Inputs'!J38</f>
        <v>8968.7624025799742</v>
      </c>
      <c r="L24" s="40">
        <f t="shared" si="13"/>
        <v>676.82896480218335</v>
      </c>
      <c r="M24" s="40">
        <f>'Procedures &amp; Inputs'!M38</f>
        <v>2361.9577907164171</v>
      </c>
      <c r="N24" s="40">
        <f>'Procedures &amp; Inputs'!N38</f>
        <v>0</v>
      </c>
      <c r="O24" s="40">
        <f>'Procedures &amp; Inputs'!O38</f>
        <v>0</v>
      </c>
      <c r="P24" s="5"/>
      <c r="S24" s="74">
        <f t="shared" si="5"/>
        <v>0</v>
      </c>
      <c r="T24" s="40">
        <f>'Procedures &amp; Inputs'!K38</f>
        <v>69.088389279339751</v>
      </c>
      <c r="U24" s="40">
        <f>'Procedures &amp; Inputs'!L38</f>
        <v>607.74057552284364</v>
      </c>
      <c r="V24" s="75"/>
      <c r="Z24" s="32"/>
      <c r="AA24" s="61">
        <f t="shared" si="6"/>
        <v>12</v>
      </c>
      <c r="AB24" s="62"/>
      <c r="AC24" s="67" t="s">
        <v>71</v>
      </c>
      <c r="AF24" s="3" t="s">
        <v>67</v>
      </c>
      <c r="AG24" s="40">
        <f>'Procedures &amp; Inputs'!F53</f>
        <v>82563.272691819904</v>
      </c>
      <c r="AH24" s="40">
        <f>'Procedures &amp; Inputs'!G53</f>
        <v>64133.0074322152</v>
      </c>
      <c r="AI24" s="40">
        <f>'Procedures &amp; Inputs'!H53</f>
        <v>6582.2096648608031</v>
      </c>
      <c r="AJ24" s="40">
        <f>'Procedures &amp; Inputs'!I53</f>
        <v>512.78087289690586</v>
      </c>
      <c r="AK24" s="40">
        <f>'Procedures &amp; Inputs'!J53</f>
        <v>8481.2659796300595</v>
      </c>
      <c r="AL24" s="40">
        <f t="shared" si="12"/>
        <v>649.09440625769912</v>
      </c>
      <c r="AM24" s="40">
        <f>'Procedures &amp; Inputs'!M53</f>
        <v>2204.9143359592508</v>
      </c>
      <c r="AN24" s="40">
        <f>'Procedures &amp; Inputs'!N53</f>
        <v>0</v>
      </c>
      <c r="AO24" s="40">
        <f>'Procedures &amp; Inputs'!O53</f>
        <v>0</v>
      </c>
      <c r="AP24" s="5"/>
      <c r="AS24" s="65">
        <f t="shared" si="11"/>
        <v>0</v>
      </c>
      <c r="AT24" s="40">
        <f>'Procedures &amp; Inputs'!K53</f>
        <v>66.207033178175919</v>
      </c>
      <c r="AU24" s="40">
        <f>'Procedures &amp; Inputs'!L53</f>
        <v>582.88737307952317</v>
      </c>
      <c r="AZ24" s="32"/>
      <c r="BA24" s="61">
        <f t="shared" si="8"/>
        <v>12</v>
      </c>
      <c r="BB24" s="62"/>
      <c r="BC24" s="67" t="s">
        <v>71</v>
      </c>
      <c r="BF24" s="3" t="s">
        <v>67</v>
      </c>
      <c r="BG24" s="40">
        <f>'Procedures &amp; Inputs'!$F68</f>
        <v>77224.390171754145</v>
      </c>
      <c r="BH24" s="40">
        <f>'Procedures &amp; Inputs'!$G68</f>
        <v>59892.383617809333</v>
      </c>
      <c r="BI24" s="40">
        <f>'Procedures &amp; Inputs'!$H68</f>
        <v>6172.7432283423313</v>
      </c>
      <c r="BJ24" s="40">
        <f>'Procedures &amp; Inputs'!$I68</f>
        <v>480.83127164696367</v>
      </c>
      <c r="BK24" s="40">
        <f>'Procedures &amp; Inputs'!$J68</f>
        <v>8007.6634415030649</v>
      </c>
      <c r="BL24" s="40">
        <f>'Procedures &amp; Inputs'!$K68+'Procedures &amp; Inputs'!$L68</f>
        <v>615.68647042042551</v>
      </c>
      <c r="BM24" s="40">
        <f>'Procedures &amp; Inputs'!$M68</f>
        <v>2055.0821420320322</v>
      </c>
      <c r="BN24" s="40">
        <f>'Procedures &amp; Inputs'!N68</f>
        <v>0</v>
      </c>
      <c r="BO24" s="40">
        <f>'Procedures &amp; Inputs'!O68</f>
        <v>0</v>
      </c>
      <c r="BP24" s="5"/>
      <c r="BS24" s="65">
        <f t="shared" si="10"/>
        <v>0</v>
      </c>
      <c r="BT24" s="40">
        <f>'Procedures &amp; Inputs'!$K68</f>
        <v>62.707936626926092</v>
      </c>
      <c r="BU24" s="40">
        <f>'Procedures &amp; Inputs'!$L68</f>
        <v>552.97853379349942</v>
      </c>
    </row>
    <row r="25" spans="1:73" x14ac:dyDescent="0.3">
      <c r="A25" s="61">
        <f t="shared" si="3"/>
        <v>13</v>
      </c>
      <c r="B25" s="62"/>
      <c r="C25" s="67" t="s">
        <v>72</v>
      </c>
      <c r="F25" s="3" t="s">
        <v>67</v>
      </c>
      <c r="G25" s="40">
        <f>'Procedures &amp; Inputs'!F39</f>
        <v>484.15416760892896</v>
      </c>
      <c r="H25" s="40">
        <f>'Procedures &amp; Inputs'!G39</f>
        <v>65.447798688127847</v>
      </c>
      <c r="I25" s="40">
        <f>'Procedures &amp; Inputs'!H39</f>
        <v>6.9183744979433355</v>
      </c>
      <c r="J25" s="40">
        <f>'Procedures &amp; Inputs'!I39</f>
        <v>0.316214181571422</v>
      </c>
      <c r="K25" s="40">
        <f>'Procedures &amp; Inputs'!J39</f>
        <v>22.598544816491842</v>
      </c>
      <c r="L25" s="40">
        <f t="shared" si="13"/>
        <v>388.47066345797964</v>
      </c>
      <c r="M25" s="40">
        <f>'Procedures &amp; Inputs'!M39</f>
        <v>0.40257196681488239</v>
      </c>
      <c r="N25" s="40">
        <f>'Procedures &amp; Inputs'!N39</f>
        <v>0</v>
      </c>
      <c r="O25" s="40">
        <f>'Procedures &amp; Inputs'!O39</f>
        <v>0</v>
      </c>
      <c r="P25" s="5"/>
      <c r="S25" s="74">
        <f t="shared" si="5"/>
        <v>0</v>
      </c>
      <c r="T25" s="40">
        <f>'Procedures &amp; Inputs'!K39</f>
        <v>0.28322115874232284</v>
      </c>
      <c r="U25" s="40">
        <f>'Procedures &amp; Inputs'!L39</f>
        <v>388.18744229923732</v>
      </c>
      <c r="V25" s="75"/>
      <c r="Z25" s="32"/>
      <c r="AA25" s="61">
        <f t="shared" si="6"/>
        <v>13</v>
      </c>
      <c r="AB25" s="62"/>
      <c r="AC25" s="67" t="s">
        <v>72</v>
      </c>
      <c r="AF25" s="3" t="s">
        <v>67</v>
      </c>
      <c r="AG25" s="40">
        <f>'Procedures &amp; Inputs'!F54</f>
        <v>487.76144897476252</v>
      </c>
      <c r="AH25" s="40">
        <f>'Procedures &amp; Inputs'!G54</f>
        <v>67.549797478954432</v>
      </c>
      <c r="AI25" s="40">
        <f>'Procedures &amp; Inputs'!H54</f>
        <v>7.1049246881122174</v>
      </c>
      <c r="AJ25" s="40">
        <f>'Procedures &amp; Inputs'!I54</f>
        <v>0.32467604123608806</v>
      </c>
      <c r="AK25" s="40">
        <f>'Procedures &amp; Inputs'!J54</f>
        <v>23.166784673561743</v>
      </c>
      <c r="AL25" s="40">
        <f t="shared" si="12"/>
        <v>389.20197569127095</v>
      </c>
      <c r="AM25" s="40">
        <f>'Procedures &amp; Inputs'!M54</f>
        <v>0.4132904016270702</v>
      </c>
      <c r="AN25" s="40">
        <f>'Procedures &amp; Inputs'!N54</f>
        <v>0</v>
      </c>
      <c r="AO25" s="40">
        <f>'Procedures &amp; Inputs'!O54</f>
        <v>0</v>
      </c>
      <c r="AP25" s="5"/>
      <c r="AS25" s="65">
        <f t="shared" si="11"/>
        <v>0</v>
      </c>
      <c r="AT25" s="40">
        <f>'Procedures &amp; Inputs'!K54</f>
        <v>0.29214335272234015</v>
      </c>
      <c r="AU25" s="40">
        <f>'Procedures &amp; Inputs'!L54</f>
        <v>388.9098323385486</v>
      </c>
      <c r="AZ25" s="32"/>
      <c r="BA25" s="61">
        <f t="shared" si="8"/>
        <v>13</v>
      </c>
      <c r="BB25" s="62"/>
      <c r="BC25" s="67" t="s">
        <v>72</v>
      </c>
      <c r="BF25" s="3" t="s">
        <v>67</v>
      </c>
      <c r="BG25" s="40">
        <f>'Procedures &amp; Inputs'!$F69</f>
        <v>539.22071669980176</v>
      </c>
      <c r="BH25" s="40">
        <f>'Procedures &amp; Inputs'!$G69</f>
        <v>74.934172642151168</v>
      </c>
      <c r="BI25" s="40">
        <f>'Procedures &amp; Inputs'!$H69</f>
        <v>7.8652827961760252</v>
      </c>
      <c r="BJ25" s="40">
        <f>'Procedures &amp; Inputs'!$I69</f>
        <v>0.35946274294091063</v>
      </c>
      <c r="BK25" s="40">
        <f>'Procedures &amp; Inputs'!$J69</f>
        <v>25.614765397743298</v>
      </c>
      <c r="BL25" s="40">
        <f>'Procedures &amp; Inputs'!$K69+'Procedures &amp; Inputs'!$L69</f>
        <v>429.98896559520597</v>
      </c>
      <c r="BM25" s="40">
        <f>'Procedures &amp; Inputs'!$M69</f>
        <v>0.45806752558434316</v>
      </c>
      <c r="BN25" s="40">
        <f>'Procedures &amp; Inputs'!N69</f>
        <v>0</v>
      </c>
      <c r="BO25" s="40">
        <f>'Procedures &amp; Inputs'!O69</f>
        <v>0</v>
      </c>
      <c r="BP25" s="5"/>
      <c r="BS25" s="65">
        <f t="shared" si="10"/>
        <v>0</v>
      </c>
      <c r="BT25" s="40">
        <f>'Procedures &amp; Inputs'!$K69</f>
        <v>0.32062163158508389</v>
      </c>
      <c r="BU25" s="40">
        <f>'Procedures &amp; Inputs'!$L69</f>
        <v>429.66834396362088</v>
      </c>
    </row>
    <row r="26" spans="1:73" x14ac:dyDescent="0.3">
      <c r="A26" s="61">
        <f t="shared" si="3"/>
        <v>14</v>
      </c>
      <c r="B26" s="62"/>
      <c r="C26" s="67" t="s">
        <v>73</v>
      </c>
      <c r="F26" s="3" t="s">
        <v>74</v>
      </c>
      <c r="G26" s="40">
        <f>'Procedures &amp; Inputs'!F40</f>
        <v>110880.30115566259</v>
      </c>
      <c r="H26" s="40">
        <f>'Procedures &amp; Inputs'!G40</f>
        <v>0</v>
      </c>
      <c r="I26" s="40">
        <f>'Procedures &amp; Inputs'!H40</f>
        <v>0</v>
      </c>
      <c r="J26" s="40">
        <f>'Procedures &amp; Inputs'!I40</f>
        <v>0</v>
      </c>
      <c r="K26" s="40">
        <f>'Procedures &amp; Inputs'!J40</f>
        <v>0</v>
      </c>
      <c r="L26" s="40">
        <f t="shared" si="13"/>
        <v>0</v>
      </c>
      <c r="M26" s="40">
        <f>'Procedures &amp; Inputs'!M40</f>
        <v>0</v>
      </c>
      <c r="N26" s="40">
        <f>'Procedures &amp; Inputs'!N40</f>
        <v>110880.30115566259</v>
      </c>
      <c r="O26" s="40">
        <f>'Procedures &amp; Inputs'!O40</f>
        <v>0</v>
      </c>
      <c r="P26" s="5"/>
      <c r="S26" s="74">
        <f t="shared" si="5"/>
        <v>0</v>
      </c>
      <c r="T26" s="40">
        <f>'Procedures &amp; Inputs'!K40</f>
        <v>0</v>
      </c>
      <c r="U26" s="40">
        <f>'Procedures &amp; Inputs'!L40</f>
        <v>0</v>
      </c>
      <c r="V26" s="75"/>
      <c r="Z26" s="32"/>
      <c r="AA26" s="61">
        <f t="shared" si="6"/>
        <v>14</v>
      </c>
      <c r="AB26" s="62"/>
      <c r="AC26" s="67" t="s">
        <v>73</v>
      </c>
      <c r="AF26" s="3" t="s">
        <v>74</v>
      </c>
      <c r="AG26" s="40">
        <f>'Procedures &amp; Inputs'!F55</f>
        <v>106876.55083489435</v>
      </c>
      <c r="AH26" s="40">
        <f>'Procedures &amp; Inputs'!G55</f>
        <v>0</v>
      </c>
      <c r="AI26" s="40">
        <f>'Procedures &amp; Inputs'!H55</f>
        <v>0</v>
      </c>
      <c r="AJ26" s="40">
        <f>'Procedures &amp; Inputs'!I55</f>
        <v>0</v>
      </c>
      <c r="AK26" s="40">
        <f>'Procedures &amp; Inputs'!J55</f>
        <v>0</v>
      </c>
      <c r="AL26" s="40">
        <f t="shared" si="12"/>
        <v>0</v>
      </c>
      <c r="AM26" s="40">
        <f>'Procedures &amp; Inputs'!M55</f>
        <v>0</v>
      </c>
      <c r="AN26" s="40">
        <f>'Procedures &amp; Inputs'!N55</f>
        <v>106876.55083489435</v>
      </c>
      <c r="AO26" s="40">
        <f>'Procedures &amp; Inputs'!O55</f>
        <v>0</v>
      </c>
      <c r="AP26" s="5"/>
      <c r="AS26" s="65">
        <f t="shared" si="11"/>
        <v>0</v>
      </c>
      <c r="AT26" s="40">
        <f>'Procedures &amp; Inputs'!K55</f>
        <v>0</v>
      </c>
      <c r="AU26" s="40">
        <f>'Procedures &amp; Inputs'!L55</f>
        <v>0</v>
      </c>
      <c r="AZ26" s="32"/>
      <c r="BA26" s="61">
        <f t="shared" si="8"/>
        <v>14</v>
      </c>
      <c r="BB26" s="62"/>
      <c r="BC26" s="67" t="s">
        <v>73</v>
      </c>
      <c r="BF26" s="3" t="s">
        <v>74</v>
      </c>
      <c r="BG26" s="40">
        <f>'Procedures &amp; Inputs'!$F70</f>
        <v>103604.37734712621</v>
      </c>
      <c r="BH26" s="40">
        <f>'Procedures &amp; Inputs'!$G70</f>
        <v>0</v>
      </c>
      <c r="BI26" s="40">
        <f>'Procedures &amp; Inputs'!$H70</f>
        <v>0</v>
      </c>
      <c r="BJ26" s="40">
        <f>'Procedures &amp; Inputs'!$I70</f>
        <v>0</v>
      </c>
      <c r="BK26" s="40">
        <f>'Procedures &amp; Inputs'!$J70</f>
        <v>0</v>
      </c>
      <c r="BL26" s="40">
        <f>'Procedures &amp; Inputs'!$K70+'Procedures &amp; Inputs'!$L70</f>
        <v>0</v>
      </c>
      <c r="BM26" s="40">
        <f>'Procedures &amp; Inputs'!$M70</f>
        <v>0</v>
      </c>
      <c r="BN26" s="40">
        <f>'Procedures &amp; Inputs'!N70</f>
        <v>103604.37734712621</v>
      </c>
      <c r="BO26" s="40">
        <f>'Procedures &amp; Inputs'!O70</f>
        <v>0</v>
      </c>
      <c r="BP26" s="5"/>
      <c r="BS26" s="65">
        <f t="shared" si="10"/>
        <v>0</v>
      </c>
      <c r="BT26" s="40">
        <f>'Procedures &amp; Inputs'!$K70</f>
        <v>0</v>
      </c>
      <c r="BU26" s="40">
        <f>'Procedures &amp; Inputs'!$L70</f>
        <v>0</v>
      </c>
    </row>
    <row r="27" spans="1:73" x14ac:dyDescent="0.3">
      <c r="A27" s="61">
        <f t="shared" si="3"/>
        <v>15</v>
      </c>
      <c r="B27" s="62"/>
      <c r="C27" s="67" t="s">
        <v>75</v>
      </c>
      <c r="F27" s="3" t="s">
        <v>67</v>
      </c>
      <c r="G27" s="40">
        <f>'Procedures &amp; Inputs'!F41</f>
        <v>207266.87159957644</v>
      </c>
      <c r="H27" s="40">
        <f>'Procedures &amp; Inputs'!G41</f>
        <v>171951.77214801993</v>
      </c>
      <c r="I27" s="40">
        <f>'Procedures &amp; Inputs'!H41</f>
        <v>13470.482321294427</v>
      </c>
      <c r="J27" s="40">
        <f>'Procedures &amp; Inputs'!I41</f>
        <v>1311.4992654272537</v>
      </c>
      <c r="K27" s="40">
        <f>'Procedures &amp; Inputs'!J41</f>
        <v>13917.174497404745</v>
      </c>
      <c r="L27" s="40">
        <f t="shared" si="13"/>
        <v>1292.2023979756814</v>
      </c>
      <c r="M27" s="40">
        <f>'Procedures &amp; Inputs'!M41</f>
        <v>5323.7409694543521</v>
      </c>
      <c r="N27" s="40">
        <f>'Procedures &amp; Inputs'!N41</f>
        <v>0</v>
      </c>
      <c r="O27" s="40">
        <f>'Procedures &amp; Inputs'!O41</f>
        <v>0</v>
      </c>
      <c r="P27" s="5"/>
      <c r="S27" s="74">
        <f t="shared" si="5"/>
        <v>0</v>
      </c>
      <c r="T27" s="40">
        <f>'Procedures &amp; Inputs'!K41</f>
        <v>126.56049243950314</v>
      </c>
      <c r="U27" s="40">
        <f>'Procedures &amp; Inputs'!L41</f>
        <v>1165.6419055361782</v>
      </c>
      <c r="V27" s="75"/>
      <c r="Z27" s="32"/>
      <c r="AA27" s="61">
        <f t="shared" si="6"/>
        <v>15</v>
      </c>
      <c r="AB27" s="62"/>
      <c r="AC27" s="67" t="s">
        <v>75</v>
      </c>
      <c r="AF27" s="3" t="s">
        <v>67</v>
      </c>
      <c r="AG27" s="40">
        <f>'Procedures &amp; Inputs'!F56</f>
        <v>201205.62630689231</v>
      </c>
      <c r="AH27" s="40">
        <f>'Procedures &amp; Inputs'!G56</f>
        <v>166653.66034370594</v>
      </c>
      <c r="AI27" s="40">
        <f>'Procedures &amp; Inputs'!H56</f>
        <v>13119.688237960208</v>
      </c>
      <c r="AJ27" s="40">
        <f>'Procedures &amp; Inputs'!I56</f>
        <v>1275.4116914062129</v>
      </c>
      <c r="AK27" s="40">
        <f>'Procedures &amp; Inputs'!J56</f>
        <v>13719.842414703637</v>
      </c>
      <c r="AL27" s="40">
        <f t="shared" si="12"/>
        <v>1290.1454921150628</v>
      </c>
      <c r="AM27" s="40">
        <f>'Procedures &amp; Inputs'!M56</f>
        <v>5146.8781270012441</v>
      </c>
      <c r="AN27" s="40">
        <f>'Procedures &amp; Inputs'!N56</f>
        <v>0</v>
      </c>
      <c r="AO27" s="40">
        <f>'Procedures &amp; Inputs'!O56</f>
        <v>0</v>
      </c>
      <c r="AP27" s="5"/>
      <c r="AS27" s="65">
        <f t="shared" si="11"/>
        <v>0</v>
      </c>
      <c r="AT27" s="40">
        <f>'Procedures &amp; Inputs'!K56</f>
        <v>126.39735075067573</v>
      </c>
      <c r="AU27" s="40">
        <f>'Procedures &amp; Inputs'!L56</f>
        <v>1163.748141364387</v>
      </c>
      <c r="AZ27" s="32"/>
      <c r="BA27" s="61">
        <f t="shared" si="8"/>
        <v>15</v>
      </c>
      <c r="BB27" s="62"/>
      <c r="BC27" s="67" t="s">
        <v>75</v>
      </c>
      <c r="BF27" s="3" t="s">
        <v>67</v>
      </c>
      <c r="BG27" s="40">
        <f>'Procedures &amp; Inputs'!$F71</f>
        <v>198586.46090717395</v>
      </c>
      <c r="BH27" s="40">
        <f>'Procedures &amp; Inputs'!$G71</f>
        <v>164186.63893794772</v>
      </c>
      <c r="BI27" s="40">
        <f>'Procedures &amp; Inputs'!$H71</f>
        <v>13001.050150276269</v>
      </c>
      <c r="BJ27" s="40">
        <f>'Procedures &amp; Inputs'!$I71</f>
        <v>1261.6373238364963</v>
      </c>
      <c r="BK27" s="40">
        <f>'Procedures &amp; Inputs'!$J71</f>
        <v>13780.780670444115</v>
      </c>
      <c r="BL27" s="40">
        <f>'Procedures &amp; Inputs'!$K71+'Procedures &amp; Inputs'!$L71</f>
        <v>1296.9248050057815</v>
      </c>
      <c r="BM27" s="40">
        <f>'Procedures &amp; Inputs'!$M71</f>
        <v>5059.4290196635584</v>
      </c>
      <c r="BN27" s="40">
        <f>'Procedures &amp; Inputs'!N71</f>
        <v>0</v>
      </c>
      <c r="BO27" s="40">
        <f>'Procedures &amp; Inputs'!O71</f>
        <v>0</v>
      </c>
      <c r="BP27" s="5"/>
      <c r="BS27" s="65">
        <f t="shared" si="10"/>
        <v>0</v>
      </c>
      <c r="BT27" s="40">
        <f>'Procedures &amp; Inputs'!$K71</f>
        <v>126.95306974920149</v>
      </c>
      <c r="BU27" s="40">
        <f>'Procedures &amp; Inputs'!$L71</f>
        <v>1169.9717352565801</v>
      </c>
    </row>
    <row r="28" spans="1:73" x14ac:dyDescent="0.3">
      <c r="A28" s="61">
        <f t="shared" si="3"/>
        <v>16</v>
      </c>
      <c r="B28" s="62"/>
      <c r="C28" s="67" t="s">
        <v>76</v>
      </c>
      <c r="G28" s="76"/>
      <c r="H28" s="76"/>
      <c r="I28" s="76"/>
      <c r="J28" s="76"/>
      <c r="K28" s="76"/>
      <c r="L28" s="76"/>
      <c r="M28" s="76"/>
      <c r="N28" s="76"/>
      <c r="O28" s="76"/>
      <c r="P28" s="5"/>
      <c r="S28" s="74">
        <f t="shared" si="5"/>
        <v>0</v>
      </c>
      <c r="T28" s="76"/>
      <c r="U28" s="76"/>
      <c r="V28" s="76"/>
      <c r="Z28" s="32"/>
      <c r="AA28" s="61">
        <f t="shared" si="6"/>
        <v>16</v>
      </c>
      <c r="AB28" s="62"/>
      <c r="AC28" s="67" t="s">
        <v>76</v>
      </c>
      <c r="AG28" s="76"/>
      <c r="AH28" s="76"/>
      <c r="AI28" s="76"/>
      <c r="AJ28" s="76"/>
      <c r="AK28" s="76"/>
      <c r="AL28" s="76"/>
      <c r="AM28" s="76"/>
      <c r="AN28" s="76"/>
      <c r="AO28" s="76"/>
      <c r="AP28" s="5"/>
      <c r="AS28" s="74">
        <f t="shared" si="11"/>
        <v>0</v>
      </c>
      <c r="AT28" s="76"/>
      <c r="AU28" s="76"/>
      <c r="AZ28" s="32"/>
      <c r="BA28" s="61">
        <f t="shared" si="8"/>
        <v>16</v>
      </c>
      <c r="BB28" s="62"/>
      <c r="BC28" s="67" t="s">
        <v>76</v>
      </c>
      <c r="BG28" s="76"/>
      <c r="BH28" s="76"/>
      <c r="BI28" s="76"/>
      <c r="BJ28" s="76"/>
      <c r="BK28" s="76"/>
      <c r="BL28" s="76"/>
      <c r="BM28" s="76"/>
      <c r="BN28" s="76"/>
      <c r="BO28" s="76"/>
      <c r="BP28" s="5"/>
      <c r="BS28" s="74">
        <f t="shared" si="10"/>
        <v>0</v>
      </c>
      <c r="BT28" s="76"/>
      <c r="BU28" s="76"/>
    </row>
    <row r="29" spans="1:73" ht="14.4" thickBot="1" x14ac:dyDescent="0.35">
      <c r="A29" s="61">
        <f t="shared" si="3"/>
        <v>17</v>
      </c>
      <c r="B29" s="77"/>
      <c r="C29" s="78" t="s">
        <v>77</v>
      </c>
      <c r="D29" s="79"/>
      <c r="E29" s="79"/>
      <c r="F29" s="79"/>
      <c r="G29" s="80">
        <f t="shared" ref="G29:O29" si="14">SUM(G16:G28)</f>
        <v>3581136.9941941975</v>
      </c>
      <c r="H29" s="80">
        <f t="shared" si="14"/>
        <v>2267037.8977738135</v>
      </c>
      <c r="I29" s="80">
        <f t="shared" si="14"/>
        <v>206882.91663149215</v>
      </c>
      <c r="J29" s="80">
        <f t="shared" si="14"/>
        <v>12487.038868994399</v>
      </c>
      <c r="K29" s="80">
        <f t="shared" si="14"/>
        <v>832519.67245338159</v>
      </c>
      <c r="L29" s="80">
        <f t="shared" si="14"/>
        <v>122358.57813085426</v>
      </c>
      <c r="M29" s="80">
        <f t="shared" si="14"/>
        <v>22033.799670844623</v>
      </c>
      <c r="N29" s="80">
        <f t="shared" si="14"/>
        <v>110880.30115566259</v>
      </c>
      <c r="O29" s="80">
        <f t="shared" si="14"/>
        <v>6936.7889099135682</v>
      </c>
      <c r="P29" s="5"/>
      <c r="S29" s="81">
        <f t="shared" si="5"/>
        <v>-5.9924041852355003E-4</v>
      </c>
      <c r="T29" s="80">
        <f>SUM(T16:T28)</f>
        <v>10250.295863360941</v>
      </c>
      <c r="U29" s="80">
        <f>SUM(U16:U28)</f>
        <v>112108.28226749331</v>
      </c>
      <c r="V29" s="82"/>
      <c r="Z29" s="32"/>
      <c r="AA29" s="61">
        <f t="shared" si="6"/>
        <v>17</v>
      </c>
      <c r="AB29" s="77"/>
      <c r="AC29" s="78" t="s">
        <v>77</v>
      </c>
      <c r="AD29" s="79"/>
      <c r="AE29" s="79"/>
      <c r="AF29" s="79"/>
      <c r="AG29" s="80">
        <f t="shared" ref="AG29:AO29" si="15">SUM(AG16:AG28)</f>
        <v>3469181.9014283377</v>
      </c>
      <c r="AH29" s="80">
        <f t="shared" si="15"/>
        <v>2182790.5277506229</v>
      </c>
      <c r="AI29" s="80">
        <f t="shared" si="15"/>
        <v>202774.84637902171</v>
      </c>
      <c r="AJ29" s="80">
        <f t="shared" si="15"/>
        <v>12202.305396553433</v>
      </c>
      <c r="AK29" s="80">
        <f t="shared" si="15"/>
        <v>816792.3465070941</v>
      </c>
      <c r="AL29" s="80">
        <f t="shared" si="15"/>
        <v>120573.2739218342</v>
      </c>
      <c r="AM29" s="80">
        <f t="shared" si="15"/>
        <v>21232.329273469208</v>
      </c>
      <c r="AN29" s="80">
        <f t="shared" si="15"/>
        <v>106876.55083489435</v>
      </c>
      <c r="AO29" s="80">
        <f t="shared" si="15"/>
        <v>5939.7207434116463</v>
      </c>
      <c r="AP29" s="5"/>
      <c r="AS29" s="81">
        <f t="shared" si="11"/>
        <v>-6.2143569812178612E-4</v>
      </c>
      <c r="AT29" s="80">
        <f>SUM(AT16:AT28)</f>
        <v>10097.089434740503</v>
      </c>
      <c r="AU29" s="80">
        <f>SUM(AU16:AU28)</f>
        <v>110476.2996694367</v>
      </c>
      <c r="AZ29" s="32"/>
      <c r="BA29" s="61">
        <f t="shared" si="8"/>
        <v>17</v>
      </c>
      <c r="BB29" s="77"/>
      <c r="BC29" s="78" t="s">
        <v>77</v>
      </c>
      <c r="BD29" s="79"/>
      <c r="BE29" s="79"/>
      <c r="BF29" s="79"/>
      <c r="BG29" s="80">
        <f t="shared" ref="BG29:BO29" si="16">SUM(BG16:BG28)</f>
        <v>3359766.0147103197</v>
      </c>
      <c r="BH29" s="80">
        <f>SUM(BH16:BH28)</f>
        <v>2119644.398452661</v>
      </c>
      <c r="BI29" s="80">
        <f t="shared" si="16"/>
        <v>196085.69302129754</v>
      </c>
      <c r="BJ29" s="80">
        <f t="shared" si="16"/>
        <v>11839.130400985096</v>
      </c>
      <c r="BK29" s="80">
        <f t="shared" si="16"/>
        <v>787582.67730265576</v>
      </c>
      <c r="BL29" s="80">
        <f t="shared" si="16"/>
        <v>115509.92871073693</v>
      </c>
      <c r="BM29" s="80">
        <f t="shared" si="16"/>
        <v>20557.388115601691</v>
      </c>
      <c r="BN29" s="80">
        <f t="shared" si="16"/>
        <v>103604.37734712621</v>
      </c>
      <c r="BO29" s="80">
        <f t="shared" si="16"/>
        <v>4942.4207120013889</v>
      </c>
      <c r="BP29" s="5"/>
      <c r="BS29" s="81">
        <f t="shared" si="10"/>
        <v>-6.4725475385785103E-4</v>
      </c>
      <c r="BT29" s="80">
        <f>SUM(BT16:BT28)</f>
        <v>9649.7748752629886</v>
      </c>
      <c r="BU29" s="80">
        <f>SUM(BU16:BU28)</f>
        <v>105860.15383547395</v>
      </c>
    </row>
    <row r="30" spans="1:73" ht="14.4" thickTop="1" x14ac:dyDescent="0.3">
      <c r="A30" s="61">
        <f t="shared" si="3"/>
        <v>18</v>
      </c>
      <c r="B30" s="56"/>
      <c r="C30" s="83" t="s">
        <v>78</v>
      </c>
      <c r="G30" s="84"/>
      <c r="H30" s="85"/>
      <c r="I30" s="86"/>
      <c r="J30" s="86"/>
      <c r="K30" s="86"/>
      <c r="L30" s="86"/>
      <c r="M30" s="86"/>
      <c r="N30" s="86"/>
      <c r="O30" s="87"/>
      <c r="S30" s="88"/>
      <c r="U30" s="86"/>
      <c r="Z30" s="32"/>
      <c r="AA30" s="61">
        <f t="shared" si="6"/>
        <v>18</v>
      </c>
      <c r="AB30" s="56"/>
      <c r="AC30" s="83" t="s">
        <v>78</v>
      </c>
      <c r="AG30" s="84"/>
      <c r="AH30" s="85"/>
      <c r="AI30" s="86"/>
      <c r="AJ30" s="86"/>
      <c r="AK30" s="86"/>
      <c r="AL30" s="86"/>
      <c r="AM30" s="86"/>
      <c r="AN30" s="86"/>
      <c r="AO30" s="87"/>
      <c r="AS30" s="88"/>
      <c r="AU30" s="86"/>
      <c r="AZ30" s="32"/>
      <c r="BA30" s="61">
        <f t="shared" si="8"/>
        <v>18</v>
      </c>
      <c r="BB30" s="56"/>
      <c r="BC30" s="83" t="s">
        <v>78</v>
      </c>
      <c r="BG30" s="84"/>
      <c r="BH30" s="85"/>
      <c r="BI30" s="86"/>
      <c r="BJ30" s="86"/>
      <c r="BK30" s="86"/>
      <c r="BL30" s="86"/>
      <c r="BM30" s="86"/>
      <c r="BN30" s="86"/>
      <c r="BO30" s="87"/>
      <c r="BS30" s="88"/>
      <c r="BU30" s="86"/>
    </row>
    <row r="31" spans="1:73" x14ac:dyDescent="0.3">
      <c r="A31" s="61">
        <f t="shared" si="3"/>
        <v>19</v>
      </c>
      <c r="B31" s="89"/>
      <c r="C31" s="90" t="s">
        <v>79</v>
      </c>
      <c r="G31" s="40"/>
      <c r="H31" s="40"/>
      <c r="I31" s="40"/>
      <c r="J31" s="40"/>
      <c r="K31" s="40"/>
      <c r="L31" s="40"/>
      <c r="M31" s="40"/>
      <c r="N31" s="40"/>
      <c r="O31" s="87"/>
      <c r="R31" s="91" t="s">
        <v>80</v>
      </c>
      <c r="S31" s="65"/>
      <c r="U31" s="40"/>
      <c r="Z31" s="32"/>
      <c r="AA31" s="61">
        <f t="shared" si="6"/>
        <v>19</v>
      </c>
      <c r="AB31" s="89"/>
      <c r="AC31" s="90" t="s">
        <v>79</v>
      </c>
      <c r="AG31" s="40"/>
      <c r="AH31" s="40"/>
      <c r="AI31" s="40"/>
      <c r="AJ31" s="40"/>
      <c r="AK31" s="40"/>
      <c r="AL31" s="40"/>
      <c r="AM31" s="40"/>
      <c r="AN31" s="40"/>
      <c r="AO31" s="87"/>
      <c r="AR31" s="91" t="s">
        <v>80</v>
      </c>
      <c r="AS31" s="65"/>
      <c r="AU31" s="40"/>
      <c r="AZ31" s="32"/>
      <c r="BA31" s="61">
        <f t="shared" si="8"/>
        <v>19</v>
      </c>
      <c r="BB31" s="89"/>
      <c r="BC31" s="90" t="s">
        <v>79</v>
      </c>
      <c r="BG31" s="40"/>
      <c r="BH31" s="40"/>
      <c r="BI31" s="40"/>
      <c r="BJ31" s="40"/>
      <c r="BK31" s="40"/>
      <c r="BL31" s="40"/>
      <c r="BM31" s="40"/>
      <c r="BN31" s="40"/>
      <c r="BO31" s="87"/>
      <c r="BR31" s="91" t="s">
        <v>80</v>
      </c>
      <c r="BS31" s="65"/>
      <c r="BU31" s="40"/>
    </row>
    <row r="32" spans="1:73" x14ac:dyDescent="0.3">
      <c r="A32" s="61">
        <f t="shared" si="3"/>
        <v>20</v>
      </c>
      <c r="B32" s="56"/>
      <c r="C32" s="92" t="s">
        <v>81</v>
      </c>
      <c r="G32" s="40">
        <f>SUM(H32:M32)</f>
        <v>24446369.994377144</v>
      </c>
      <c r="H32" s="40">
        <f>SUMIF('[8]by Rate Code - Yr5'!$A:$A,"RS-1",'[8]by Rate Code - Yr5'!$RB:$RB)</f>
        <v>22064517.351241626</v>
      </c>
      <c r="I32" s="40">
        <f>SUMIF('[8]by Rate Code - Yr5'!$A:$A,"GS-1",'[8]by Rate Code - Yr5'!$RB:$RB)-I33</f>
        <v>1599713.9382797538</v>
      </c>
      <c r="J32" s="40">
        <f>SUMIF('[8]by Rate Code - Yr5'!$A:$A,"GS-2",'[8]by Rate Code - Yr5'!$RB:$RB)-J33</f>
        <v>170541.20372150553</v>
      </c>
      <c r="K32" s="40">
        <f>SUMIF('[8]by Rate Code - Yr5'!$A:$A,"GSD",'[8]by Rate Code - Yr5'!$RB:$RB)
+SUMIF('[8]by Rate Code - Yr5'!$A:$A,"ss-1",'[8]by Rate Code - Yr5'!$RB:$RB)</f>
        <v>596543.619751308</v>
      </c>
      <c r="L32" s="40">
        <f>SUMIF('[8]by Rate Code - Yr5'!$A:$A,"CS",'[8]by Rate Code - Yr5'!$RB:$RB)
+SUMIF('[8]by Rate Code - Yr5'!$A:$A,"IS",'[8]by Rate Code - Yr5'!$RB:$RB)
+SUMIF('[8]by Rate Code - Yr5'!$A:$A,"ss-2",'[8]by Rate Code - Yr5'!$RB:$RB)
+SUMIF('[8]by Rate Code - Yr5'!$A:$A,"ss-3",'[8]by Rate Code - Yr5'!$RB:$RB)</f>
        <v>1866.2000531451135</v>
      </c>
      <c r="M32" s="40">
        <f>SUMIF('[8]by Rate Code - Yr5'!$A:$A,"LS",'[8]by Rate Code - Yr5'!$RB:$RB)-M33</f>
        <v>13187.681329806917</v>
      </c>
      <c r="N32" s="40"/>
      <c r="P32" s="5"/>
      <c r="R32" s="93"/>
      <c r="S32" s="65"/>
      <c r="T32" s="40">
        <f>SUMIF('[8]by Rate Code - Yr5'!$A:$A,"CS",'[8]by Rate Code - Yr5'!$RB:$RB)
+SUMIF('[8]by Rate Code - Yr5'!$A:$A,"ss-3",'[8]by Rate Code - Yr5'!$RB:$RB)-T33</f>
        <v>82.914291639411232</v>
      </c>
      <c r="U32" s="40">
        <f>SUMIF('[8]by Rate Code - Yr5'!$A:$A,"IS",'[8]by Rate Code - Yr5'!$RB:$RB)
+SUMIF('[8]by Rate Code - Yr5'!$A:$A,"ss-2",'[8]by Rate Code - Yr5'!$RB:$RB)-U33</f>
        <v>1783.2857615057023</v>
      </c>
      <c r="V32" s="40"/>
      <c r="Z32" s="32"/>
      <c r="AA32" s="61">
        <f t="shared" si="6"/>
        <v>20</v>
      </c>
      <c r="AB32" s="56"/>
      <c r="AC32" s="92" t="s">
        <v>81</v>
      </c>
      <c r="AG32" s="40">
        <f>SUM(AH32:AM32)</f>
        <v>24050731.960120562</v>
      </c>
      <c r="AH32" s="40">
        <f>SUMIF('[8]by Rate Code - Yr4'!$A:$A,"RS-1",'[8]by Rate Code - Yr4'!$RB:$RB)</f>
        <v>21696377.792271525</v>
      </c>
      <c r="AI32" s="40">
        <f>SUMIF('[8]by Rate Code - Yr4'!$A:$A,"GS-1",'[8]by Rate Code - Yr4'!$RB:$RB)-AI33</f>
        <v>1580978.1793711956</v>
      </c>
      <c r="AJ32" s="40">
        <f>SUMIF('[8]by Rate Code - Yr4'!$A:$A,"GS-2",'[8]by Rate Code - Yr4'!$RB:$RB)-AJ33</f>
        <v>168887.72794582756</v>
      </c>
      <c r="AK32" s="40">
        <f>SUMIF('[8]by Rate Code - Yr4'!$A:$A,"GSD",'[8]by Rate Code - Yr4'!$RB:$RB)
+SUMIF('[8]by Rate Code - Yr4'!$A:$A,"ss-1",'[8]by Rate Code - Yr4'!$RB:$RB)</f>
        <v>589625.59573639324</v>
      </c>
      <c r="AL32" s="40">
        <f>SUMIF('[8]by Rate Code - Yr4'!$A:$A,"CS",'[8]by Rate Code - Yr4'!$RB:$RB)
+SUMIF('[8]by Rate Code - Yr4'!$A:$A,"IS",'[8]by Rate Code - Yr4'!$RB:$RB)
+SUMIF('[8]by Rate Code - Yr4'!$A:$A,"ss-2",'[8]by Rate Code - Yr4'!$RB:$RB)
+SUMIF('[8]by Rate Code - Yr4'!$A:$A,"ss-3",'[8]by Rate Code - Yr4'!$RB:$RB)</f>
        <v>1857.2923817585606</v>
      </c>
      <c r="AM32" s="40">
        <f>SUMIF('[8]by Rate Code - Yr4'!$A:$A,"LS",'[8]by Rate Code - Yr4'!$RB:$RB)-AM33</f>
        <v>13005.372413863894</v>
      </c>
      <c r="AN32" s="40"/>
      <c r="AR32" s="93"/>
      <c r="AS32" s="65"/>
      <c r="AT32" s="40">
        <f>SUMIF('[8]by Rate Code - Yr4'!$A:$A,"CS",'[8]by Rate Code - Yr4'!$RB:$RB)
+SUMIF('[8]by Rate Code - Yr4'!$A:$A,"ss-3",'[8]by Rate Code - Yr4'!$RB:$RB)-AT33</f>
        <v>82.435236240856611</v>
      </c>
      <c r="AU32" s="40">
        <f>SUMIF('[8]by Rate Code - Yr4'!$A:$A,"IS",'[8]by Rate Code - Yr4'!$RB:$RB)
+SUMIF('[8]by Rate Code - Yr4'!$A:$A,"ss-2",'[8]by Rate Code - Yr4'!$RB:$RB)-AU33</f>
        <v>1774.8571455177039</v>
      </c>
      <c r="AZ32" s="32"/>
      <c r="BA32" s="61">
        <f t="shared" si="8"/>
        <v>20</v>
      </c>
      <c r="BB32" s="56"/>
      <c r="BC32" s="92" t="s">
        <v>81</v>
      </c>
      <c r="BG32" s="40">
        <f>SUM(BH32:BM32)</f>
        <v>23648436.207946993</v>
      </c>
      <c r="BH32" s="40">
        <f>SUMIF('[8]by Rate Code - Yr3'!$A:$A,"RS-1",'[8]by Rate Code - Yr3'!$RB:$RB)</f>
        <v>21321603.501903247</v>
      </c>
      <c r="BI32" s="40">
        <f>SUMIF('[8]by Rate Code - Yr3'!$A:$A,"GS-1",'[8]by Rate Code - Yr3'!$RB:$RB)-BI33</f>
        <v>1562182.8826693455</v>
      </c>
      <c r="BJ32" s="40">
        <f>SUMIF('[8]by Rate Code - Yr3'!$A:$A,"GS-2",'[8]by Rate Code - Yr3'!$RB:$RB)-BJ33</f>
        <v>167225.3671961673</v>
      </c>
      <c r="BK32" s="40">
        <f>SUMIF('[8]by Rate Code - Yr3'!$A:$A,"GSD",'[8]by Rate Code - Yr3'!$RB:$RB)
+SUMIF('[8]by Rate Code - Yr3'!$A:$A,"ss-1",'[8]by Rate Code - Yr3'!$RB:$RB)</f>
        <v>582748.74137322244</v>
      </c>
      <c r="BL32" s="40">
        <f>SUMIF('[8]by Rate Code - Yr3'!$A:$A,"CS",'[8]by Rate Code - Yr3'!$RB:$RB)
+SUMIF('[8]by Rate Code - Yr3'!$A:$A,"IS",'[8]by Rate Code - Yr3'!$RB:$RB)
+SUMIF('[8]by Rate Code - Yr3'!$A:$A,"ss-2",'[8]by Rate Code - Yr3'!$RB:$RB)
+SUMIF('[8]by Rate Code - Yr3'!$A:$A,"ss-3",'[8]by Rate Code - Yr3'!$RB:$RB)</f>
        <v>1855.1209680974425</v>
      </c>
      <c r="BM32" s="40">
        <f>SUMIF('[8]by Rate Code - Yr3'!$A:$A,"LS",'[8]by Rate Code - Yr3'!$RB:$RB)-BM33</f>
        <v>12820.593836914864</v>
      </c>
      <c r="BN32" s="40"/>
      <c r="BP32" s="5"/>
      <c r="BR32" s="93"/>
      <c r="BS32" s="65"/>
      <c r="BT32" s="40">
        <f>SUMIF('[8]by Rate Code - Yr3'!$A:$A,"CS",'[8]by Rate Code - Yr3'!$RB:$RB)
+SUMIF('[8]by Rate Code - Yr3'!$A:$A,"ss-3",'[8]by Rate Code - Yr3'!$RB:$RB)-BT33</f>
        <v>82.132299570887</v>
      </c>
      <c r="BU32" s="40">
        <f>SUMIF('[8]by Rate Code - Yr3'!$A:$A,"IS",'[8]by Rate Code - Yr3'!$RB:$RB)
+SUMIF('[8]by Rate Code - Yr3'!$A:$A,"ss-2",'[8]by Rate Code - Yr3'!$RB:$RB)-BU33</f>
        <v>1772.9886685265556</v>
      </c>
    </row>
    <row r="33" spans="1:73" x14ac:dyDescent="0.3">
      <c r="A33" s="61">
        <f t="shared" si="3"/>
        <v>21</v>
      </c>
      <c r="B33" s="56"/>
      <c r="C33" s="94" t="s">
        <v>82</v>
      </c>
      <c r="G33" s="40">
        <f>SUM(H33:M33)</f>
        <v>797544.58085290203</v>
      </c>
      <c r="H33" s="40">
        <f>SUMIFS('[8]by Rate Code - Yr5'!$RB:$RB,'[8]by Rate Code - Yr5'!$A:$A,"RS-1",'[8]by Rate Code - Yr5'!$C:$C,"*UM*")</f>
        <v>0</v>
      </c>
      <c r="I33" s="40">
        <f>SUMIFS('[8]by Rate Code - Yr5'!$RB:$RB,'[8]by Rate Code - Yr5'!$A:$A,"GS-1",'[8]by Rate Code - Yr5'!$C:$C,"*UM*")</f>
        <v>5661.7423939996061</v>
      </c>
      <c r="J33" s="40">
        <f>SUMIFS('[8]by Rate Code - Yr5'!$RB:$RB,'[8]by Rate Code - Yr5'!$A:$A,"GS-2",'[8]by Rate Code - Yr5'!$C:$C,"*UM*")</f>
        <v>10324.644696744759</v>
      </c>
      <c r="K33" s="40">
        <f>SUMIFS('[8]by Rate Code - Yr5'!$RB:$RB,'[8]by Rate Code - Yr5'!$A:$A,"GSD",'[8]by Rate Code - Yr5'!$C:$C,"*UM*")
+SUMIFS('[8]by Rate Code - Yr5'!$RB:$RB,'[8]by Rate Code - Yr5'!$A:$A,"SS-1",'[8]by Rate Code - Yr5'!$C:$C,"*UM*")</f>
        <v>0</v>
      </c>
      <c r="L33" s="40">
        <f>SUMIFS('[8]by Rate Code - Yr5'!$RB:$RB,'[8]by Rate Code - Yr5'!$A:$A,"CS",'[8]by Rate Code - Yr5'!$C:$C,"*UM*")
+SUMIFS('[8]by Rate Code - Yr5'!$RB:$RB,'[8]by Rate Code - Yr5'!$A:$A,"IS",'[8]by Rate Code - Yr5'!$C:$C,"*UM*")
+SUMIFS('[8]by Rate Code - Yr5'!$RB:$RB,'[8]by Rate Code - Yr5'!$A:$A,"SS-2",'[8]by Rate Code - Yr5'!$C:$C,"*UM*")
+SUMIFS('[8]by Rate Code - Yr5'!$RB:$RB,'[8]by Rate Code - Yr5'!$A:$A,"SS-3",'[8]by Rate Code - Yr5'!$C:$C,"*UM*")</f>
        <v>0</v>
      </c>
      <c r="M33" s="40">
        <f>SUMIFS('[8]by Rate Code - Yr5'!$RB:$RB,'[8]by Rate Code - Yr5'!$A:$A,"LS",'[8]by Rate Code - Yr5'!$C:$C,"*U*")</f>
        <v>781558.19376215769</v>
      </c>
      <c r="N33" s="40"/>
      <c r="P33" s="5"/>
      <c r="R33" s="95" t="s">
        <v>83</v>
      </c>
      <c r="S33" s="74">
        <f t="shared" ref="S33:S41" si="17">SUM(H33:N33)-G33</f>
        <v>0</v>
      </c>
      <c r="T33" s="40">
        <f>SUMIFS('[8]by Rate Code - Yr5'!$RB:$RB,'[8]by Rate Code - Yr5'!$A:$A,"CS",'[8]by Rate Code - Yr5'!$C:$C,"*UM*")
+SUMIFS('[8]by Rate Code - Yr5'!$RB:$RB,'[8]by Rate Code - Yr5'!$A:$A,"SS-3",'[8]by Rate Code - Yr5'!$C:$C,"*UM*")</f>
        <v>0</v>
      </c>
      <c r="U33" s="40">
        <f>SUMIFS('[8]by Rate Code - Yr5'!$RB:$RB,'[8]by Rate Code - Yr5'!$A:$A,"IS",'[8]by Rate Code - Yr5'!$C:$C,"*UM*")
+SUMIFS('[8]by Rate Code - Yr5'!$RB:$RB,'[8]by Rate Code - Yr5'!$A:$A,"SS-2",'[8]by Rate Code - Yr5'!$C:$C,"*UM*")</f>
        <v>0</v>
      </c>
      <c r="V33" s="40"/>
      <c r="Z33" s="32"/>
      <c r="AA33" s="61">
        <f t="shared" si="6"/>
        <v>21</v>
      </c>
      <c r="AB33" s="56"/>
      <c r="AC33" s="94" t="s">
        <v>82</v>
      </c>
      <c r="AG33" s="40">
        <f>SUM(AH33:AM33)</f>
        <v>786573.76539347216</v>
      </c>
      <c r="AH33" s="40">
        <f>SUMIFS('[8]by Rate Code - Yr4'!$RB:$RB,'[8]by Rate Code - Yr4'!$A:$A,"RS-1",'[8]by Rate Code - Yr4'!$C:$C,"*UM*")</f>
        <v>0</v>
      </c>
      <c r="AI33" s="40">
        <f>SUMIFS('[8]by Rate Code - Yr4'!$RB:$RB,'[8]by Rate Code - Yr4'!$A:$A,"GS-1",'[8]by Rate Code - Yr4'!$C:$C,"*UM*")</f>
        <v>5595.4323882179406</v>
      </c>
      <c r="AJ33" s="40">
        <f>SUMIFS('[8]by Rate Code - Yr4'!$RB:$RB,'[8]by Rate Code - Yr4'!$A:$A,"GS-2",'[8]by Rate Code - Yr4'!$C:$C,"*UM*")</f>
        <v>10224.542495481846</v>
      </c>
      <c r="AK33" s="40">
        <f>SUMIFS('[8]by Rate Code - Yr4'!$RB:$RB,'[8]by Rate Code - Yr4'!$A:$A,"GSD",'[8]by Rate Code - Yr4'!$C:$C,"*UM*")
+SUMIFS('[8]by Rate Code - Yr4'!$RB:$RB,'[8]by Rate Code - Yr4'!$A:$A,"SS-1",'[8]by Rate Code - Yr4'!$C:$C,"*UM*")</f>
        <v>0</v>
      </c>
      <c r="AL33" s="40">
        <f>SUMIFS('[8]by Rate Code - Yr4'!$RB:$RB,'[8]by Rate Code - Yr4'!$A:$A,"CS",'[8]by Rate Code - Yr4'!$C:$C,"*UM*")
+SUMIFS('[8]by Rate Code - Yr4'!$RB:$RB,'[8]by Rate Code - Yr4'!$A:$A,"IS",'[8]by Rate Code - Yr4'!$C:$C,"*UM*")
+SUMIFS('[8]by Rate Code - Yr4'!$RB:$RB,'[8]by Rate Code - Yr4'!$A:$A,"SS-2",'[8]by Rate Code - Yr4'!$C:$C,"*UM*")
+SUMIFS('[8]by Rate Code - Yr4'!$RB:$RB,'[8]by Rate Code - Yr4'!$A:$A,"SS-3",'[8]by Rate Code - Yr4'!$C:$C,"*UM*")</f>
        <v>0</v>
      </c>
      <c r="AM33" s="40">
        <f>SUMIFS('[8]by Rate Code - Yr4'!$RB:$RB,'[8]by Rate Code - Yr4'!$A:$A,"LS",'[8]by Rate Code - Yr4'!$C:$C,"*U*")</f>
        <v>770753.79050977237</v>
      </c>
      <c r="AN33" s="40"/>
      <c r="AR33" s="95" t="s">
        <v>83</v>
      </c>
      <c r="AS33" s="74">
        <f>SUM(AH33:AO33)-AG33</f>
        <v>0</v>
      </c>
      <c r="AT33" s="40">
        <f>SUMIFS('[8]by Rate Code - Yr4'!$RB:$RB,'[8]by Rate Code - Yr4'!$A:$A,"CS",'[8]by Rate Code - Yr4'!$C:$C,"*UM*")
+SUMIFS('[8]by Rate Code - Yr4'!$RB:$RB,'[8]by Rate Code - Yr4'!$A:$A,"SS-3",'[8]by Rate Code - Yr4'!$C:$C,"*UM*")</f>
        <v>0</v>
      </c>
      <c r="AU33" s="40">
        <f>SUMIFS('[8]by Rate Code - Yr4'!$RB:$RB,'[8]by Rate Code - Yr4'!$A:$A,"IS",'[8]by Rate Code - Yr4'!$C:$C,"*UM*")
+SUMIFS('[8]by Rate Code - Yr4'!$RB:$RB,'[8]by Rate Code - Yr4'!$A:$A,"SS-2",'[8]by Rate Code - Yr4'!$C:$C,"*UM*")</f>
        <v>0</v>
      </c>
      <c r="AZ33" s="32"/>
      <c r="BA33" s="61">
        <f t="shared" si="8"/>
        <v>21</v>
      </c>
      <c r="BB33" s="56"/>
      <c r="BC33" s="94" t="s">
        <v>82</v>
      </c>
      <c r="BG33" s="40">
        <f>SUM(BH33:BM33)</f>
        <v>775455.83868062519</v>
      </c>
      <c r="BH33" s="40">
        <f>SUMIFS('[8]by Rate Code - Yr3'!$RB:$RB,'[8]by Rate Code - Yr3'!$A:$A,"RS-1",'[8]by Rate Code - Yr3'!$C:$C,"*UM*")</f>
        <v>0</v>
      </c>
      <c r="BI33" s="40">
        <f>SUMIFS('[8]by Rate Code - Yr3'!$RB:$RB,'[8]by Rate Code - Yr3'!$A:$A,"GS-1",'[8]by Rate Code - Yr3'!$C:$C,"*UM*")</f>
        <v>5528.9116649821972</v>
      </c>
      <c r="BJ33" s="40">
        <f>SUMIFS('[8]by Rate Code - Yr3'!$RB:$RB,'[8]by Rate Code - Yr3'!$A:$A,"GS-2",'[8]by Rate Code - Yr3'!$C:$C,"*UM*")</f>
        <v>10123.90239371451</v>
      </c>
      <c r="BK33" s="40">
        <f>SUMIFS('[8]by Rate Code - Yr3'!$RB:$RB,'[8]by Rate Code - Yr3'!$A:$A,"GSD",'[8]by Rate Code - Yr3'!$C:$C,"*UM*")
+SUMIFS('[8]by Rate Code - Yr3'!$RB:$RB,'[8]by Rate Code - Yr3'!$A:$A,"SS-1",'[8]by Rate Code - Yr3'!$C:$C,"*UM*")</f>
        <v>0</v>
      </c>
      <c r="BL33" s="40">
        <f>SUMIFS('[8]by Rate Code - Yr3'!$RB:$RB,'[8]by Rate Code - Yr3'!$A:$A,"CS",'[8]by Rate Code - Yr3'!$C:$C,"*UM*")
+SUMIFS('[8]by Rate Code - Yr3'!$RB:$RB,'[8]by Rate Code - Yr3'!$A:$A,"IS",'[8]by Rate Code - Yr3'!$C:$C,"*UM*")
+SUMIFS('[8]by Rate Code - Yr3'!$RB:$RB,'[8]by Rate Code - Yr3'!$A:$A,"SS-2",'[8]by Rate Code - Yr3'!$C:$C,"*UM*")
+SUMIFS('[8]by Rate Code - Yr3'!$RB:$RB,'[8]by Rate Code - Yr3'!$A:$A,"SS-3",'[8]by Rate Code - Yr3'!$C:$C,"*UM*")</f>
        <v>0</v>
      </c>
      <c r="BM33" s="40">
        <f>SUMIFS('[8]by Rate Code - Yr3'!$RB:$RB,'[8]by Rate Code - Yr3'!$A:$A,"LS",'[8]by Rate Code - Yr3'!$C:$C,"*U*")</f>
        <v>759803.02462192846</v>
      </c>
      <c r="BN33" s="40"/>
      <c r="BP33" s="5"/>
      <c r="BR33" s="95" t="s">
        <v>83</v>
      </c>
      <c r="BS33" s="74">
        <f t="shared" ref="BS33:BS41" si="18">SUM(BH33:BN33)-BG33</f>
        <v>0</v>
      </c>
      <c r="BT33" s="40">
        <f>SUMIFS('[8]by Rate Code - Yr3'!$RB:$RB,'[8]by Rate Code - Yr3'!$A:$A,"CS",'[8]by Rate Code - Yr3'!$C:$C,"*UM*")
+SUMIFS('[8]by Rate Code - Yr3'!$RB:$RB,'[8]by Rate Code - Yr3'!$A:$A,"SS-3",'[8]by Rate Code - Yr3'!$C:$C,"*UM*")</f>
        <v>0</v>
      </c>
      <c r="BU33" s="40">
        <f>SUMIFS('[8]by Rate Code - Yr3'!$RB:$RB,'[8]by Rate Code - Yr3'!$A:$A,"IS",'[8]by Rate Code - Yr3'!$C:$C,"*UM*")
+SUMIFS('[8]by Rate Code - Yr3'!$RB:$RB,'[8]by Rate Code - Yr3'!$A:$A,"SS-2",'[8]by Rate Code - Yr3'!$C:$C,"*UM*")</f>
        <v>0</v>
      </c>
    </row>
    <row r="34" spans="1:73" x14ac:dyDescent="0.3">
      <c r="A34" s="61">
        <f t="shared" si="3"/>
        <v>22</v>
      </c>
      <c r="B34" s="56"/>
      <c r="C34" s="63" t="s">
        <v>84</v>
      </c>
      <c r="G34" s="40">
        <f>SUM(G32:G33)</f>
        <v>25243914.575230047</v>
      </c>
      <c r="H34" s="40">
        <f t="shared" ref="H34:M34" si="19">SUM(H32:H33)</f>
        <v>22064517.351241626</v>
      </c>
      <c r="I34" s="40">
        <f t="shared" si="19"/>
        <v>1605375.6806737534</v>
      </c>
      <c r="J34" s="40">
        <f t="shared" si="19"/>
        <v>180865.8484182503</v>
      </c>
      <c r="K34" s="40">
        <f t="shared" si="19"/>
        <v>596543.619751308</v>
      </c>
      <c r="L34" s="40">
        <f t="shared" si="19"/>
        <v>1866.2000531451135</v>
      </c>
      <c r="M34" s="40">
        <f t="shared" si="19"/>
        <v>794745.87509196461</v>
      </c>
      <c r="N34" s="40"/>
      <c r="P34" s="5"/>
      <c r="R34" s="95"/>
      <c r="S34" s="74">
        <f t="shared" si="17"/>
        <v>0</v>
      </c>
      <c r="T34" s="40">
        <f>SUM(T32:T33)</f>
        <v>82.914291639411232</v>
      </c>
      <c r="U34" s="40">
        <f>SUM(U32:U33)</f>
        <v>1783.2857615057023</v>
      </c>
      <c r="V34" s="40"/>
      <c r="Z34" s="32"/>
      <c r="AA34" s="61">
        <f t="shared" si="6"/>
        <v>22</v>
      </c>
      <c r="AB34" s="56"/>
      <c r="AC34" s="63" t="s">
        <v>84</v>
      </c>
      <c r="AG34" s="40">
        <f>SUM(AG32:AG33)</f>
        <v>24837305.725514036</v>
      </c>
      <c r="AH34" s="40">
        <f t="shared" ref="AH34:AM34" si="20">SUM(AH32:AH33)</f>
        <v>21696377.792271525</v>
      </c>
      <c r="AI34" s="40">
        <f t="shared" si="20"/>
        <v>1586573.6117594135</v>
      </c>
      <c r="AJ34" s="40">
        <f t="shared" si="20"/>
        <v>179112.2704413094</v>
      </c>
      <c r="AK34" s="40">
        <f t="shared" si="20"/>
        <v>589625.59573639324</v>
      </c>
      <c r="AL34" s="40">
        <f t="shared" si="20"/>
        <v>1857.2923817585606</v>
      </c>
      <c r="AM34" s="40">
        <f t="shared" si="20"/>
        <v>783759.16292363626</v>
      </c>
      <c r="AN34" s="40"/>
      <c r="AR34" s="95"/>
      <c r="AS34" s="74">
        <f t="shared" ref="AS34:AS41" si="21">SUM(AH34:AO34)-AG34</f>
        <v>0</v>
      </c>
      <c r="AT34" s="40">
        <f>SUM(AT32:AT33)</f>
        <v>82.435236240856611</v>
      </c>
      <c r="AU34" s="40">
        <f>SUM(AU32:AU33)</f>
        <v>1774.8571455177039</v>
      </c>
      <c r="AZ34" s="32"/>
      <c r="BA34" s="61">
        <f t="shared" si="8"/>
        <v>22</v>
      </c>
      <c r="BB34" s="56"/>
      <c r="BC34" s="63" t="s">
        <v>84</v>
      </c>
      <c r="BG34" s="40">
        <f>SUM(BG32:BG33)</f>
        <v>24423892.046627618</v>
      </c>
      <c r="BH34" s="40">
        <f t="shared" ref="BH34:BM34" si="22">SUM(BH32:BH33)</f>
        <v>21321603.501903247</v>
      </c>
      <c r="BI34" s="40">
        <f t="shared" si="22"/>
        <v>1567711.7943343276</v>
      </c>
      <c r="BJ34" s="40">
        <f t="shared" si="22"/>
        <v>177349.26958988182</v>
      </c>
      <c r="BK34" s="40">
        <f t="shared" si="22"/>
        <v>582748.74137322244</v>
      </c>
      <c r="BL34" s="40">
        <f t="shared" si="22"/>
        <v>1855.1209680974425</v>
      </c>
      <c r="BM34" s="40">
        <f t="shared" si="22"/>
        <v>772623.61845884332</v>
      </c>
      <c r="BN34" s="40"/>
      <c r="BP34" s="5"/>
      <c r="BR34" s="95"/>
      <c r="BS34" s="74">
        <f t="shared" si="18"/>
        <v>0</v>
      </c>
      <c r="BT34" s="40">
        <f>SUM(BT32:BT33)</f>
        <v>82.132299570887</v>
      </c>
      <c r="BU34" s="40">
        <f>SUM(BU32:BU33)</f>
        <v>1772.9886685265556</v>
      </c>
    </row>
    <row r="35" spans="1:73" x14ac:dyDescent="0.3">
      <c r="A35" s="61">
        <f t="shared" si="3"/>
        <v>23</v>
      </c>
      <c r="B35" s="56"/>
      <c r="C35" s="96" t="s">
        <v>85</v>
      </c>
      <c r="G35" s="40">
        <f>SUM(H35:M35)</f>
        <v>25236247.375391606</v>
      </c>
      <c r="H35" s="40">
        <f>SUMIFS('[8]by Rate Code - Yr5'!$RB:$RB,'[8]by Rate Code - Yr5'!$A:$A,"RS-1",'[8]by Rate Code - Yr5'!$E:$E,"Sec.")</f>
        <v>22064517.351241626</v>
      </c>
      <c r="I35" s="40">
        <f>SUMIFS('[8]by Rate Code - Yr5'!$RB:$RB,'[8]by Rate Code - Yr5'!$A:$A,"GS-1",'[8]by Rate Code - Yr5'!$E:$E,"Sec.")</f>
        <v>1603516.9124654408</v>
      </c>
      <c r="J35" s="40">
        <f>SUMIFS('[8]by Rate Code - Yr5'!$RB:$RB,'[8]by Rate Code - Yr5'!$A:$A,"GS-2",'[8]by Rate Code - Yr5'!$E:$E,"Sec.")</f>
        <v>180865.8484182503</v>
      </c>
      <c r="K35" s="40">
        <f>SUMIFS('[8]by Rate Code - Yr5'!$RB:$RB,'[8]by Rate Code - Yr5'!$A:$A,"GSD",'[8]by Rate Code - Yr5'!$E:$E,"Sec.")
+SUMIFS('[8]by Rate Code - Yr5'!$RB:$RB,'[8]by Rate Code - Yr5'!$A:$A,"SS-1",'[8]by Rate Code - Yr5'!$E:$E,"Sec.")</f>
        <v>591775.00040740962</v>
      </c>
      <c r="L35" s="40">
        <f>SUMIFS('[8]by Rate Code - Yr5'!$RB:$RB,'[8]by Rate Code - Yr5'!$A:$A,"CS",'[8]by Rate Code - Yr5'!$E:$E,"Sec.")
+SUMIFS('[8]by Rate Code - Yr5'!$RB:$RB,'[8]by Rate Code - Yr5'!$A:$A,"IS",'[8]by Rate Code - Yr5'!$E:$E,"Sec.")
+SUMIFS('[8]by Rate Code - Yr5'!$RB:$RB,'[8]by Rate Code - Yr5'!$A:$A,"SS-2",'[8]by Rate Code - Yr5'!$E:$E,"Sec.")
+SUMIFS('[8]by Rate Code - Yr5'!$RB:$RB,'[8]by Rate Code - Yr5'!$A:$A,"SS-3",'[8]by Rate Code - Yr5'!$E:$E,"Sec.")</f>
        <v>826.38776691083899</v>
      </c>
      <c r="M35" s="40">
        <f>SUMIFS('[8]by Rate Code - Yr5'!$RB:$RB,'[8]by Rate Code - Yr5'!$A:$A,"LS",'[8]by Rate Code - Yr5'!$E:$E,"Sec.")</f>
        <v>794745.87509196461</v>
      </c>
      <c r="N35" s="40"/>
      <c r="P35" s="5"/>
      <c r="R35" s="95" t="s">
        <v>86</v>
      </c>
      <c r="S35" s="74">
        <f t="shared" si="17"/>
        <v>0</v>
      </c>
      <c r="T35" s="40">
        <f>SUMIFS('[8]by Rate Code - Yr5'!$RB:$RB,'[8]by Rate Code - Yr5'!$A:$A,"CS",'[8]by Rate Code - Yr5'!$E:$E,"Sec.")
+SUMIFS('[8]by Rate Code - Yr5'!$RB:$RB,'[8]by Rate Code - Yr5'!$A:$A,"SS-3",'[8]by Rate Code - Yr5'!$E:$E,"Sec.")</f>
        <v>6.7868672747482002</v>
      </c>
      <c r="U35" s="40">
        <f>SUMIFS('[8]by Rate Code - Yr5'!$RB:$RB,'[8]by Rate Code - Yr5'!$A:$A,"IS",'[8]by Rate Code - Yr5'!$E:$E,"Sec.")
+SUMIFS('[8]by Rate Code - Yr5'!$RB:$RB,'[8]by Rate Code - Yr5'!$A:$A,"SS-2",'[8]by Rate Code - Yr5'!$E:$E,"Sec.")</f>
        <v>819.60089963609084</v>
      </c>
      <c r="V35" s="40"/>
      <c r="Z35" s="32"/>
      <c r="AA35" s="61">
        <f t="shared" si="6"/>
        <v>23</v>
      </c>
      <c r="AB35" s="56"/>
      <c r="AC35" s="96" t="s">
        <v>85</v>
      </c>
      <c r="AG35" s="40">
        <f>SUM(AH35:AM35)</f>
        <v>24829719.852729637</v>
      </c>
      <c r="AH35" s="40">
        <f>SUMIFS('[8]by Rate Code - Yr4'!$RB:$RB,'[8]by Rate Code - Yr4'!$A:$A,"RS-1",'[8]by Rate Code - Yr4'!$E:$E,"Sec.")</f>
        <v>21696377.792271525</v>
      </c>
      <c r="AI35" s="40">
        <f>SUMIFS('[8]by Rate Code - Yr4'!$RB:$RB,'[8]by Rate Code - Yr4'!$A:$A,"GS-1",'[8]by Rate Code - Yr4'!$E:$E,"Sec.")</f>
        <v>1584736.6133389268</v>
      </c>
      <c r="AJ35" s="40">
        <f>SUMIFS('[8]by Rate Code - Yr4'!$RB:$RB,'[8]by Rate Code - Yr4'!$A:$A,"GS-2",'[8]by Rate Code - Yr4'!$E:$E,"Sec.")</f>
        <v>179112.2704413094</v>
      </c>
      <c r="AK35" s="40">
        <f>SUMIFS('[8]by Rate Code - Yr4'!$RB:$RB,'[8]by Rate Code - Yr4'!$A:$A,"GSD",'[8]by Rate Code - Yr4'!$E:$E,"Sec.")
+SUMIFS('[8]by Rate Code - Yr4'!$RB:$RB,'[8]by Rate Code - Yr4'!$A:$A,"SS-1",'[8]by Rate Code - Yr4'!$E:$E,"Sec.")</f>
        <v>584911.60764496028</v>
      </c>
      <c r="AL35" s="40">
        <f>SUMIFS('[8]by Rate Code - Yr4'!$RB:$RB,'[8]by Rate Code - Yr4'!$A:$A,"CS",'[8]by Rate Code - Yr4'!$E:$E,"Sec.")
+SUMIFS('[8]by Rate Code - Yr4'!$RB:$RB,'[8]by Rate Code - Yr4'!$A:$A,"IS",'[8]by Rate Code - Yr4'!$E:$E,"Sec.")
+SUMIFS('[8]by Rate Code - Yr4'!$RB:$RB,'[8]by Rate Code - Yr4'!$A:$A,"SS-2",'[8]by Rate Code - Yr4'!$E:$E,"Sec.")
+SUMIFS('[8]by Rate Code - Yr4'!$RB:$RB,'[8]by Rate Code - Yr4'!$A:$A,"SS-3",'[8]by Rate Code - Yr4'!$E:$E,"Sec.")</f>
        <v>822.40610928060755</v>
      </c>
      <c r="AM35" s="40">
        <f>SUMIFS('[8]by Rate Code - Yr4'!$RB:$RB,'[8]by Rate Code - Yr4'!$A:$A,"LS",'[8]by Rate Code - Yr4'!$E:$E,"Sec.")</f>
        <v>783759.16292363626</v>
      </c>
      <c r="AN35" s="40"/>
      <c r="AR35" s="95" t="s">
        <v>86</v>
      </c>
      <c r="AS35" s="74">
        <f t="shared" si="21"/>
        <v>0</v>
      </c>
      <c r="AT35" s="40">
        <f>SUMIFS('[8]by Rate Code - Yr4'!$RB:$RB,'[8]by Rate Code - Yr4'!$A:$A,"CS",'[8]by Rate Code - Yr4'!$E:$E,"Sec.")
+SUMIFS('[8]by Rate Code - Yr4'!$RB:$RB,'[8]by Rate Code - Yr4'!$A:$A,"SS-3",'[8]by Rate Code - Yr4'!$E:$E,"Sec.")</f>
        <v>6.7393666844344846</v>
      </c>
      <c r="AU35" s="40">
        <f>SUMIFS('[8]by Rate Code - Yr4'!$RB:$RB,'[8]by Rate Code - Yr4'!$A:$A,"IS",'[8]by Rate Code - Yr4'!$E:$E,"Sec.")
+SUMIFS('[8]by Rate Code - Yr4'!$RB:$RB,'[8]by Rate Code - Yr4'!$A:$A,"SS-2",'[8]by Rate Code - Yr4'!$E:$E,"Sec.")</f>
        <v>815.66674259617309</v>
      </c>
      <c r="AZ35" s="32"/>
      <c r="BA35" s="61">
        <f t="shared" si="8"/>
        <v>23</v>
      </c>
      <c r="BB35" s="56"/>
      <c r="BC35" s="96" t="s">
        <v>85</v>
      </c>
      <c r="BG35" s="40">
        <f>SUM(BH35:BM35)</f>
        <v>24416383.324846037</v>
      </c>
      <c r="BH35" s="40">
        <f>SUMIFS('[8]by Rate Code - Yr3'!$RB:$RB,'[8]by Rate Code - Yr3'!$A:$A,"RS-1",'[8]by Rate Code - Yr3'!$E:$E,"Sec.")</f>
        <v>21321603.501903247</v>
      </c>
      <c r="BI35" s="40">
        <f>SUMIFS('[8]by Rate Code - Yr3'!$RB:$RB,'[8]by Rate Code - Yr3'!$A:$A,"GS-1",'[8]by Rate Code - Yr3'!$E:$E,"Sec.")</f>
        <v>1565896.6348808827</v>
      </c>
      <c r="BJ35" s="40">
        <f>SUMIFS('[8]by Rate Code - Yr3'!$RB:$RB,'[8]by Rate Code - Yr3'!$A:$A,"GS-2",'[8]by Rate Code - Yr3'!$E:$E,"Sec.")</f>
        <v>177349.26958988182</v>
      </c>
      <c r="BK35" s="40">
        <f>SUMIFS('[8]by Rate Code - Yr3'!$RB:$RB,'[8]by Rate Code - Yr3'!$A:$A,"GSD",'[8]by Rate Code - Yr3'!$E:$E,"Sec.")
+SUMIFS('[8]by Rate Code - Yr3'!$RB:$RB,'[8]by Rate Code - Yr3'!$A:$A,"SS-1",'[8]by Rate Code - Yr3'!$E:$E,"Sec.")</f>
        <v>578088.90892234002</v>
      </c>
      <c r="BL35" s="40">
        <f>SUMIFS('[8]by Rate Code - Yr3'!$RB:$RB,'[8]by Rate Code - Yr3'!$A:$A,"CS",'[8]by Rate Code - Yr3'!$E:$E,"Sec.")
+SUMIFS('[8]by Rate Code - Yr3'!$RB:$RB,'[8]by Rate Code - Yr3'!$A:$A,"IS",'[8]by Rate Code - Yr3'!$E:$E,"Sec.")
+SUMIFS('[8]by Rate Code - Yr3'!$RB:$RB,'[8]by Rate Code - Yr3'!$A:$A,"SS-2",'[8]by Rate Code - Yr3'!$E:$E,"Sec.")
+SUMIFS('[8]by Rate Code - Yr3'!$RB:$RB,'[8]by Rate Code - Yr3'!$A:$A,"SS-3",'[8]by Rate Code - Yr3'!$E:$E,"Sec.")</f>
        <v>821.39109083915196</v>
      </c>
      <c r="BM35" s="40">
        <f>SUMIFS('[8]by Rate Code - Yr3'!$RB:$RB,'[8]by Rate Code - Yr3'!$A:$A,"LS",'[8]by Rate Code - Yr3'!$E:$E,"Sec.")</f>
        <v>772623.61845884332</v>
      </c>
      <c r="BN35" s="40"/>
      <c r="BP35" s="5"/>
      <c r="BR35" s="95" t="s">
        <v>86</v>
      </c>
      <c r="BS35" s="74">
        <f>SUM(BH35:BN35)-BG35</f>
        <v>0</v>
      </c>
      <c r="BT35" s="40">
        <f>SUMIFS('[8]by Rate Code - Yr3'!$RB:$RB,'[8]by Rate Code - Yr3'!$A:$A,"CS",'[8]by Rate Code - Yr3'!$E:$E,"Sec.")
+SUMIFS('[8]by Rate Code - Yr3'!$RB:$RB,'[8]by Rate Code - Yr3'!$A:$A,"SS-3",'[8]by Rate Code - Yr3'!$E:$E,"Sec.")</f>
        <v>6.6997861905054945</v>
      </c>
      <c r="BU35" s="40">
        <f>SUMIFS('[8]by Rate Code - Yr3'!$RB:$RB,'[8]by Rate Code - Yr3'!$A:$A,"IS",'[8]by Rate Code - Yr3'!$E:$E,"Sec.")
+SUMIFS('[8]by Rate Code - Yr3'!$RB:$RB,'[8]by Rate Code - Yr3'!$A:$A,"SS-2",'[8]by Rate Code - Yr3'!$E:$E,"Sec.")</f>
        <v>814.69130464864645</v>
      </c>
    </row>
    <row r="36" spans="1:73" x14ac:dyDescent="0.3">
      <c r="A36" s="61">
        <f t="shared" si="3"/>
        <v>24</v>
      </c>
      <c r="B36" s="56"/>
      <c r="C36" s="96" t="s">
        <v>87</v>
      </c>
      <c r="G36" s="40">
        <f>L36</f>
        <v>1854.7695156660586</v>
      </c>
      <c r="H36" s="40"/>
      <c r="I36" s="40"/>
      <c r="J36" s="40"/>
      <c r="K36" s="40"/>
      <c r="L36" s="40">
        <f>'[8]E13c - Yr5'!$AD$440
+'[8]E13c - Yr5'!$D$679
+'[8]E13c - Yr5'!$AD$321
+'[8]E13c - Yr5'!$D$739</f>
        <v>1854.7695156660586</v>
      </c>
      <c r="M36" s="40"/>
      <c r="N36" s="40"/>
      <c r="P36" s="5"/>
      <c r="R36" s="95"/>
      <c r="S36" s="74">
        <f t="shared" si="17"/>
        <v>0</v>
      </c>
      <c r="T36" s="40">
        <f>'[8]E13c - Yr5'!$AD$321
+'[8]E13c - Yr5'!$D$739</f>
        <v>81.981280022525112</v>
      </c>
      <c r="U36" s="40">
        <f>'[8]E13c - Yr5'!$AD$440
+'[8]E13c - Yr5'!$D$679</f>
        <v>1772.7882356435334</v>
      </c>
      <c r="V36" s="40"/>
      <c r="Z36" s="32"/>
      <c r="AA36" s="61">
        <f t="shared" si="6"/>
        <v>24</v>
      </c>
      <c r="AB36" s="56"/>
      <c r="AC36" s="96" t="s">
        <v>87</v>
      </c>
      <c r="AG36" s="40">
        <f>SUM(AH36:AM36)</f>
        <v>1854.7826574218905</v>
      </c>
      <c r="AH36" s="40"/>
      <c r="AI36" s="40"/>
      <c r="AJ36" s="40"/>
      <c r="AK36" s="40"/>
      <c r="AL36" s="40">
        <f>'[8]E13c - Yr4'!$AD$440
+'[8]E13c - Yr4'!$D$679
+'[8]E13c - Yr4'!$AD$321
+'[8]E13c - Yr4'!$D$739</f>
        <v>1854.7826574218905</v>
      </c>
      <c r="AM36" s="40"/>
      <c r="AN36" s="40"/>
      <c r="AR36" s="95"/>
      <c r="AS36" s="74">
        <f>SUM(AH36:AO36)-AG36</f>
        <v>0</v>
      </c>
      <c r="AT36" s="40">
        <f>'[8]E13c - Yr4'!$AD$321
+'[8]E13c - Yr4'!$D$739</f>
        <v>82.011159520188841</v>
      </c>
      <c r="AU36" s="40">
        <f>'[8]E13c - Yr4'!$AD$440
+'[8]E13c - Yr4'!$D$679</f>
        <v>1772.7714979017014</v>
      </c>
      <c r="AZ36" s="32"/>
      <c r="BA36" s="61">
        <f t="shared" si="8"/>
        <v>24</v>
      </c>
      <c r="BB36" s="56"/>
      <c r="BC36" s="96" t="s">
        <v>87</v>
      </c>
      <c r="BG36" s="40">
        <f>SUM(BH36:BM36)</f>
        <v>1855.1209680974425</v>
      </c>
      <c r="BH36" s="40"/>
      <c r="BI36" s="40"/>
      <c r="BJ36" s="40"/>
      <c r="BK36" s="40"/>
      <c r="BL36" s="40">
        <f>'[8]E13c - Yr3'!$AD$440
+'[8]E13c - Yr3'!$D$679
+'[8]E13c - Yr3'!$AD$321
+'[8]E13c - Yr3'!$D$739</f>
        <v>1855.1209680974425</v>
      </c>
      <c r="BM36" s="40"/>
      <c r="BN36" s="40"/>
      <c r="BP36" s="5"/>
      <c r="BR36" s="95"/>
      <c r="BS36" s="74">
        <f t="shared" si="18"/>
        <v>0</v>
      </c>
      <c r="BT36" s="40">
        <f>'[8]E13c - Yr3'!$AD$321
+'[8]E13c - Yr3'!$D$739</f>
        <v>82.132299570887</v>
      </c>
      <c r="BU36" s="40">
        <f>'[8]E13c - Yr3'!$AD$440
+'[8]E13c - Yr3'!$D$679</f>
        <v>1772.9886685265556</v>
      </c>
    </row>
    <row r="37" spans="1:73" x14ac:dyDescent="0.3">
      <c r="A37" s="61">
        <f t="shared" si="3"/>
        <v>25</v>
      </c>
      <c r="B37" s="56"/>
      <c r="C37" s="90" t="s">
        <v>88</v>
      </c>
      <c r="G37" s="40"/>
      <c r="H37" s="40"/>
      <c r="I37" s="40"/>
      <c r="J37" s="40"/>
      <c r="K37" s="40"/>
      <c r="L37" s="40"/>
      <c r="M37" s="40"/>
      <c r="N37" s="40"/>
      <c r="R37" s="95"/>
      <c r="S37" s="74">
        <f t="shared" si="17"/>
        <v>0</v>
      </c>
      <c r="T37" s="40"/>
      <c r="U37" s="40"/>
      <c r="Z37" s="32"/>
      <c r="AA37" s="61">
        <f t="shared" si="6"/>
        <v>25</v>
      </c>
      <c r="AB37" s="56"/>
      <c r="AC37" s="90" t="s">
        <v>88</v>
      </c>
      <c r="AG37" s="40"/>
      <c r="AH37" s="40"/>
      <c r="AI37" s="40"/>
      <c r="AJ37" s="40"/>
      <c r="AK37" s="40"/>
      <c r="AL37" s="40"/>
      <c r="AM37" s="40"/>
      <c r="AN37" s="40"/>
      <c r="AR37" s="95"/>
      <c r="AS37" s="74">
        <f t="shared" si="21"/>
        <v>0</v>
      </c>
      <c r="AT37" s="40"/>
      <c r="AU37" s="40"/>
      <c r="AZ37" s="32"/>
      <c r="BA37" s="61">
        <f t="shared" si="8"/>
        <v>25</v>
      </c>
      <c r="BB37" s="56"/>
      <c r="BC37" s="90" t="s">
        <v>88</v>
      </c>
      <c r="BG37" s="40"/>
      <c r="BH37" s="40"/>
      <c r="BI37" s="40"/>
      <c r="BJ37" s="40"/>
      <c r="BK37" s="40"/>
      <c r="BL37" s="40"/>
      <c r="BM37" s="40"/>
      <c r="BN37" s="40"/>
      <c r="BR37" s="95"/>
      <c r="BS37" s="74">
        <f t="shared" si="18"/>
        <v>0</v>
      </c>
      <c r="BT37" s="40"/>
      <c r="BU37" s="40"/>
    </row>
    <row r="38" spans="1:73" x14ac:dyDescent="0.3">
      <c r="A38" s="61">
        <f t="shared" si="3"/>
        <v>26</v>
      </c>
      <c r="B38" s="56"/>
      <c r="C38" s="96" t="s">
        <v>89</v>
      </c>
      <c r="G38" s="40">
        <f>SUM(H38:N38)</f>
        <v>39894359.599828959</v>
      </c>
      <c r="H38" s="40">
        <f>+'E-6a (8-10)'!L14</f>
        <v>20982468.502792321</v>
      </c>
      <c r="I38" s="40">
        <f>+'E-6a (8-10)'!L20</f>
        <v>2219055.273830398</v>
      </c>
      <c r="J38" s="40">
        <f>+'E-6a (8-10)'!L21</f>
        <v>209993.41425404578</v>
      </c>
      <c r="K38" s="40">
        <f>+'E-6a (8-10)'!L28+'E-6a (8-10)'!L46</f>
        <v>13340883.857992882</v>
      </c>
      <c r="L38" s="40">
        <f>SUM(T38:U38)</f>
        <v>2805934.7771822871</v>
      </c>
      <c r="M38" s="40">
        <f>+'E-6a (8-10)'!L56</f>
        <v>336023.77377702371</v>
      </c>
      <c r="N38" s="40"/>
      <c r="R38" s="95"/>
      <c r="S38" s="74">
        <f t="shared" si="17"/>
        <v>0</v>
      </c>
      <c r="T38" s="40">
        <f>+'E-6a (8-10)'!$L$33+'E-6a (8-10)'!$L$55</f>
        <v>207882.06707512864</v>
      </c>
      <c r="U38" s="40">
        <f>'E-6a (8-10)'!$L$41+'E-6a (8-10)'!$L$51</f>
        <v>2598052.7101071584</v>
      </c>
      <c r="V38" s="40"/>
      <c r="Z38" s="32"/>
      <c r="AA38" s="61">
        <f t="shared" si="6"/>
        <v>26</v>
      </c>
      <c r="AB38" s="56"/>
      <c r="AC38" s="96" t="s">
        <v>89</v>
      </c>
      <c r="AG38" s="40">
        <f>SUM(AH38:AN38)</f>
        <v>39863723.509141445</v>
      </c>
      <c r="AH38" s="40">
        <f>+'E-6a (8-10)'!AL14</f>
        <v>21036571.744844668</v>
      </c>
      <c r="AI38" s="40">
        <f>+'E-6a (8-10)'!AL20</f>
        <v>2207981.4668647805</v>
      </c>
      <c r="AJ38" s="40">
        <f>+'E-6a (8-10)'!AL21</f>
        <v>209117.90872189892</v>
      </c>
      <c r="AK38" s="40">
        <f>+'E-6a (8-10)'!AL28+'E-6a (8-10)'!AL46</f>
        <v>13274257.005823161</v>
      </c>
      <c r="AL38" s="40">
        <f>SUM(AT38:AU38)</f>
        <v>2801462.3261003816</v>
      </c>
      <c r="AM38" s="40">
        <f>+'E-6a (8-10)'!AL56</f>
        <v>334333.05678655772</v>
      </c>
      <c r="AN38" s="40"/>
      <c r="AR38" s="95"/>
      <c r="AS38" s="74">
        <f t="shared" si="21"/>
        <v>0</v>
      </c>
      <c r="AT38" s="40">
        <f>+'E-6a (8-10)'!$AL$33+'E-6a (8-10)'!$AL$55</f>
        <v>207490.80452770827</v>
      </c>
      <c r="AU38" s="40">
        <f>'E-6a (8-10)'!$AL$41+'E-6a (8-10)'!$AL$51</f>
        <v>2593971.5215726732</v>
      </c>
      <c r="AZ38" s="32"/>
      <c r="BA38" s="61">
        <f t="shared" si="8"/>
        <v>26</v>
      </c>
      <c r="BB38" s="56"/>
      <c r="BC38" s="96" t="s">
        <v>89</v>
      </c>
      <c r="BG38" s="40">
        <f>SUM(BH38:BN38)</f>
        <v>39736636.226172522</v>
      </c>
      <c r="BH38" s="40">
        <f>+'E-6a (8-10)'!BL14</f>
        <v>21024272.36356286</v>
      </c>
      <c r="BI38" s="40">
        <f>+'E-6a (8-10)'!BL20</f>
        <v>2198186.991346309</v>
      </c>
      <c r="BJ38" s="40">
        <f>+'E-6a (8-10)'!BL21</f>
        <v>208497.37725828003</v>
      </c>
      <c r="BK38" s="40">
        <f>+'E-6a (8-10)'!BL28+'E-6a (8-10)'!BL46</f>
        <v>13207897.222804066</v>
      </c>
      <c r="BL38" s="40">
        <f>SUM(BT38:BU38)</f>
        <v>2764363.9216736145</v>
      </c>
      <c r="BM38" s="40">
        <f>+'E-6a (8-10)'!BL56</f>
        <v>333418.34952740377</v>
      </c>
      <c r="BN38" s="40"/>
      <c r="BR38" s="95"/>
      <c r="BS38" s="74">
        <f t="shared" si="18"/>
        <v>0</v>
      </c>
      <c r="BT38" s="40">
        <f>+'E-6a (8-10)'!BL33+'E-6a (8-10)'!BL55</f>
        <v>204487.1387846469</v>
      </c>
      <c r="BU38" s="40">
        <f>'E-6a (8-10)'!$BL$41+'E-6a (8-10)'!$BL$51</f>
        <v>2559876.7828889675</v>
      </c>
    </row>
    <row r="39" spans="1:73" x14ac:dyDescent="0.3">
      <c r="A39" s="61">
        <f t="shared" si="3"/>
        <v>27</v>
      </c>
      <c r="B39" s="56"/>
      <c r="C39" s="96" t="s">
        <v>90</v>
      </c>
      <c r="G39" s="40">
        <f>SUM(H39:N39)</f>
        <v>38171122.491859563</v>
      </c>
      <c r="H39" s="40">
        <f>+'E-6a (8-10)'!N14</f>
        <v>20982468.502792321</v>
      </c>
      <c r="I39" s="40">
        <f>+'E-6a (8-10)'!N20</f>
        <v>2215892.8297260012</v>
      </c>
      <c r="J39" s="40">
        <f>+'E-6a (8-10)'!N21</f>
        <v>209993.41425404578</v>
      </c>
      <c r="K39" s="40">
        <f>+'E-6a (8-10)'!N28+'E-6a (8-10)'!N46</f>
        <v>12852249.764427604</v>
      </c>
      <c r="L39" s="40">
        <f>SUM(T39:U39)</f>
        <v>1574494.2068825639</v>
      </c>
      <c r="M39" s="40">
        <f>+'E-6a (8-10)'!N56</f>
        <v>336023.77377702371</v>
      </c>
      <c r="N39" s="40"/>
      <c r="R39" s="95"/>
      <c r="S39" s="74">
        <f t="shared" si="17"/>
        <v>0</v>
      </c>
      <c r="T39" s="40">
        <f>+'E-6a (8-10)'!$N$33+'E-6a (8-10)'!$N$55</f>
        <v>207882.06707512864</v>
      </c>
      <c r="U39" s="40">
        <f>'E-6a (8-10)'!$N$41+'E-6a (8-10)'!$N$51</f>
        <v>1366612.1398074352</v>
      </c>
      <c r="V39" s="40"/>
      <c r="Z39" s="32"/>
      <c r="AA39" s="61">
        <f t="shared" si="6"/>
        <v>27</v>
      </c>
      <c r="AB39" s="56"/>
      <c r="AC39" s="96" t="s">
        <v>90</v>
      </c>
      <c r="AG39" s="40">
        <f>SUM(AH39:AN39)</f>
        <v>38144668.584195964</v>
      </c>
      <c r="AH39" s="40">
        <f>+'E-6a (8-10)'!AN14</f>
        <v>21036571.744844668</v>
      </c>
      <c r="AI39" s="40">
        <f>+'E-6a (8-10)'!AN20</f>
        <v>2204837.4846280855</v>
      </c>
      <c r="AJ39" s="40">
        <f>+'E-6a (8-10)'!AN21</f>
        <v>209117.90872189892</v>
      </c>
      <c r="AK39" s="40">
        <f>+'E-6a (8-10)'!AN28+'E-6a (8-10)'!AN46</f>
        <v>12787713.975054976</v>
      </c>
      <c r="AL39" s="40">
        <f>SUM(AT39:AU39)</f>
        <v>1572094.4141597743</v>
      </c>
      <c r="AM39" s="40">
        <f>+'E-6a (8-10)'!AN56</f>
        <v>334333.05678655772</v>
      </c>
      <c r="AN39" s="40"/>
      <c r="AR39" s="95"/>
      <c r="AS39" s="74">
        <f t="shared" si="21"/>
        <v>0</v>
      </c>
      <c r="AT39" s="40">
        <f>+'E-6a (8-10)'!$AN$33+'E-6a (8-10)'!$AN$55</f>
        <v>207490.80452770827</v>
      </c>
      <c r="AU39" s="40">
        <f>'E-6a (8-10)'!$AN$41+'E-6a (8-10)'!$AN$51</f>
        <v>1364603.609632066</v>
      </c>
      <c r="AZ39" s="32"/>
      <c r="BA39" s="61">
        <f t="shared" si="8"/>
        <v>27</v>
      </c>
      <c r="BB39" s="56"/>
      <c r="BC39" s="96" t="s">
        <v>90</v>
      </c>
      <c r="BG39" s="40">
        <f>SUM(BH39:BN39)</f>
        <v>38037500.412421934</v>
      </c>
      <c r="BH39" s="40">
        <f>+'E-6a (8-10)'!BN14</f>
        <v>21024272.36356286</v>
      </c>
      <c r="BI39" s="40">
        <f>+'E-6a (8-10)'!BN20</f>
        <v>2195056.3043123526</v>
      </c>
      <c r="BJ39" s="40">
        <f>+'E-6a (8-10)'!BN21</f>
        <v>208497.37725828003</v>
      </c>
      <c r="BK39" s="40">
        <f>+'E-6a (8-10)'!BN28+'E-6a (8-10)'!BN46</f>
        <v>12725002.709674085</v>
      </c>
      <c r="BL39" s="40">
        <f>SUM(BT39:BU39)</f>
        <v>1551253.3080869552</v>
      </c>
      <c r="BM39" s="40">
        <f>+'E-6a (8-10)'!BN56</f>
        <v>333418.34952740377</v>
      </c>
      <c r="BN39" s="40"/>
      <c r="BR39" s="95"/>
      <c r="BS39" s="74">
        <f t="shared" si="18"/>
        <v>0</v>
      </c>
      <c r="BT39" s="40">
        <f>+'E-6a (8-10)'!BN33+'E-6a (8-10)'!BN55</f>
        <v>204487.1387846469</v>
      </c>
      <c r="BU39" s="40">
        <f>'E-6a (8-10)'!$BN$41+'E-6a (8-10)'!$BN$51</f>
        <v>1346766.1693023082</v>
      </c>
    </row>
    <row r="40" spans="1:73" x14ac:dyDescent="0.3">
      <c r="A40" s="61">
        <f t="shared" si="3"/>
        <v>28</v>
      </c>
      <c r="B40" s="56"/>
      <c r="C40" s="96" t="s">
        <v>91</v>
      </c>
      <c r="G40" s="40">
        <f>SUM(H40:N40)</f>
        <v>35128291.166675448</v>
      </c>
      <c r="H40" s="40">
        <f>+'E-6a (8-10)'!P14</f>
        <v>20982468.502792321</v>
      </c>
      <c r="I40" s="40">
        <f>+'E-6a (8-10)'!P20</f>
        <v>2188799.4074149076</v>
      </c>
      <c r="J40" s="40">
        <f>+'E-6a (8-10)'!P21</f>
        <v>209993.41425404578</v>
      </c>
      <c r="K40" s="40">
        <f>+'E-6a (8-10)'!P28+'E-6a (8-10)'!P46</f>
        <v>11036274.197567809</v>
      </c>
      <c r="L40" s="40">
        <f>SUM(T40:U40)</f>
        <v>374731.87086934189</v>
      </c>
      <c r="M40" s="40">
        <f>+'E-6a (8-10)'!P56</f>
        <v>336023.77377702371</v>
      </c>
      <c r="N40" s="40"/>
      <c r="R40" s="95"/>
      <c r="S40" s="74">
        <f t="shared" si="17"/>
        <v>0</v>
      </c>
      <c r="T40" s="40">
        <f>+'E-6a (8-10)'!$P$33+'E-6a (8-10)'!$P$55</f>
        <v>-1.0327760138460873E-2</v>
      </c>
      <c r="U40" s="40">
        <f>'E-6a (8-10)'!$P$41+'E-6a (8-10)'!$P$51</f>
        <v>374731.88119710202</v>
      </c>
      <c r="V40" s="40"/>
      <c r="Z40" s="32"/>
      <c r="AA40" s="61">
        <f t="shared" si="6"/>
        <v>28</v>
      </c>
      <c r="AB40" s="56"/>
      <c r="AC40" s="96" t="s">
        <v>91</v>
      </c>
      <c r="AG40" s="40">
        <f>SUM(AH40:AN40)</f>
        <v>35111647.718807831</v>
      </c>
      <c r="AH40" s="40">
        <f>+'E-6a (8-10)'!AP14</f>
        <v>21036571.744844668</v>
      </c>
      <c r="AI40" s="40">
        <f>+'E-6a (8-10)'!AP20</f>
        <v>2177907.2984351711</v>
      </c>
      <c r="AJ40" s="40">
        <f>+'E-6a (8-10)'!AP21</f>
        <v>209117.90872189892</v>
      </c>
      <c r="AK40" s="40">
        <f>+'E-6a (8-10)'!AP28+'E-6a (8-10)'!AP46</f>
        <v>10979556.808945941</v>
      </c>
      <c r="AL40" s="40">
        <f>SUM(AT40:AU40)</f>
        <v>374160.90107359481</v>
      </c>
      <c r="AM40" s="40">
        <f>+'E-6a (8-10)'!AP56</f>
        <v>334333.05678655772</v>
      </c>
      <c r="AN40" s="40"/>
      <c r="AR40" s="95"/>
      <c r="AS40" s="74">
        <f t="shared" si="21"/>
        <v>0</v>
      </c>
      <c r="AT40" s="40">
        <f>+'E-6a (8-10)'!$AP$33+'E-6a (8-10)'!$AP$55</f>
        <v>0</v>
      </c>
      <c r="AU40" s="40">
        <f>'E-6a (8-10)'!$AP$41+'E-6a (8-10)'!$AP$51</f>
        <v>374160.90107359481</v>
      </c>
      <c r="AZ40" s="32"/>
      <c r="BA40" s="61">
        <f t="shared" si="8"/>
        <v>28</v>
      </c>
      <c r="BB40" s="56"/>
      <c r="BC40" s="96" t="s">
        <v>91</v>
      </c>
      <c r="BG40" s="40">
        <f>SUM(BH40:BN40)</f>
        <v>35031183.291674182</v>
      </c>
      <c r="BH40" s="40">
        <f>+'E-6a (8-10)'!BP14</f>
        <v>21024272.36356286</v>
      </c>
      <c r="BI40" s="40">
        <f>+'E-6a (8-10)'!BP20</f>
        <v>2168306.28498084</v>
      </c>
      <c r="BJ40" s="40">
        <f>+'E-6a (8-10)'!BP21</f>
        <v>208497.37725828003</v>
      </c>
      <c r="BK40" s="40">
        <f>+'E-6a (8-10)'!BP28+'E-6a (8-10)'!BP46</f>
        <v>10927270.303725917</v>
      </c>
      <c r="BL40" s="40">
        <f>SUM(BT40:BU40)</f>
        <v>369418.61261887668</v>
      </c>
      <c r="BM40" s="40">
        <f>+'E-6a (8-10)'!BP56</f>
        <v>333418.34952740377</v>
      </c>
      <c r="BN40" s="40"/>
      <c r="BR40" s="95"/>
      <c r="BS40" s="74">
        <f t="shared" si="18"/>
        <v>0</v>
      </c>
      <c r="BT40" s="40">
        <f>+'E-6a (8-10)'!BP33+'E-6a (8-10)'!BP55</f>
        <v>-1.0413047890876921E-2</v>
      </c>
      <c r="BU40" s="40">
        <f>'E-6a (8-10)'!$BP$41+'E-6a (8-10)'!$BP$51</f>
        <v>369418.6230319246</v>
      </c>
    </row>
    <row r="41" spans="1:73" x14ac:dyDescent="0.3">
      <c r="A41" s="61">
        <f t="shared" si="3"/>
        <v>29</v>
      </c>
      <c r="B41" s="56"/>
      <c r="C41" s="90" t="s">
        <v>92</v>
      </c>
      <c r="G41" s="40"/>
      <c r="H41" s="39"/>
      <c r="I41" s="39"/>
      <c r="J41" s="39"/>
      <c r="K41" s="39"/>
      <c r="L41" s="39"/>
      <c r="M41" s="39"/>
      <c r="N41" s="39"/>
      <c r="R41" s="95"/>
      <c r="S41" s="74">
        <f t="shared" si="17"/>
        <v>0</v>
      </c>
      <c r="T41" s="39"/>
      <c r="U41" s="39"/>
      <c r="Z41" s="32"/>
      <c r="AA41" s="61">
        <f t="shared" si="6"/>
        <v>29</v>
      </c>
      <c r="AB41" s="56"/>
      <c r="AC41" s="90" t="s">
        <v>92</v>
      </c>
      <c r="AG41" s="40"/>
      <c r="AH41" s="39"/>
      <c r="AI41" s="39"/>
      <c r="AJ41" s="39"/>
      <c r="AK41" s="39"/>
      <c r="AL41" s="39"/>
      <c r="AM41" s="39"/>
      <c r="AN41" s="39"/>
      <c r="AR41" s="95"/>
      <c r="AS41" s="74">
        <f t="shared" si="21"/>
        <v>0</v>
      </c>
      <c r="AT41" s="39"/>
      <c r="AU41" s="39"/>
      <c r="AZ41" s="32"/>
      <c r="BA41" s="61">
        <f t="shared" si="8"/>
        <v>29</v>
      </c>
      <c r="BB41" s="56"/>
      <c r="BC41" s="90" t="s">
        <v>92</v>
      </c>
      <c r="BG41" s="40"/>
      <c r="BH41" s="39"/>
      <c r="BI41" s="39"/>
      <c r="BJ41" s="39"/>
      <c r="BK41" s="39"/>
      <c r="BL41" s="39"/>
      <c r="BM41" s="39"/>
      <c r="BN41" s="39"/>
      <c r="BR41" s="95"/>
      <c r="BS41" s="74">
        <f t="shared" si="18"/>
        <v>0</v>
      </c>
      <c r="BT41" s="39"/>
      <c r="BU41" s="39"/>
    </row>
    <row r="42" spans="1:73" x14ac:dyDescent="0.3">
      <c r="A42" s="61">
        <f t="shared" si="3"/>
        <v>30</v>
      </c>
      <c r="B42" s="56"/>
      <c r="C42" s="96" t="s">
        <v>89</v>
      </c>
      <c r="G42" s="62"/>
      <c r="H42" s="62"/>
      <c r="I42" s="62"/>
      <c r="J42" s="62"/>
      <c r="K42" s="40">
        <f>'E-6a (11-13)'!K71</f>
        <v>37329697.834919058</v>
      </c>
      <c r="L42" s="40">
        <f>SUM(T42:U42)</f>
        <v>8032930.6677279575</v>
      </c>
      <c r="M42" s="62"/>
      <c r="N42" s="62"/>
      <c r="O42" s="97"/>
      <c r="R42" s="95"/>
      <c r="S42" s="98" t="s">
        <v>93</v>
      </c>
      <c r="T42" s="40">
        <f>'E-6a (11-13)'!$K$72</f>
        <v>482630.34239216545</v>
      </c>
      <c r="U42" s="40">
        <f>'E-6a (11-13)'!$K$73</f>
        <v>7550300.3253357923</v>
      </c>
      <c r="V42" s="40"/>
      <c r="Z42" s="32"/>
      <c r="AA42" s="61">
        <f t="shared" si="6"/>
        <v>30</v>
      </c>
      <c r="AB42" s="56"/>
      <c r="AC42" s="96" t="s">
        <v>89</v>
      </c>
      <c r="AG42" s="62"/>
      <c r="AH42" s="62"/>
      <c r="AI42" s="62"/>
      <c r="AJ42" s="62"/>
      <c r="AK42" s="40">
        <f>'E-6a (11-13)'!AK71</f>
        <v>37106294.40702457</v>
      </c>
      <c r="AL42" s="40">
        <f>SUM(AT42:AU42)</f>
        <v>8018547.2153154192</v>
      </c>
      <c r="AM42" s="62"/>
      <c r="AN42" s="62"/>
      <c r="AO42" s="97"/>
      <c r="AR42" s="95"/>
      <c r="AS42" s="98" t="s">
        <v>93</v>
      </c>
      <c r="AT42" s="40">
        <f>'E-6a (11-13)'!$AK$72</f>
        <v>480989.25814906077</v>
      </c>
      <c r="AU42" s="40">
        <f>'E-6a (11-13)'!$AK$73</f>
        <v>7537557.9571663588</v>
      </c>
      <c r="AZ42" s="32"/>
      <c r="BA42" s="61">
        <f t="shared" si="8"/>
        <v>30</v>
      </c>
      <c r="BB42" s="56"/>
      <c r="BC42" s="96" t="s">
        <v>89</v>
      </c>
      <c r="BG42" s="62"/>
      <c r="BH42" s="62"/>
      <c r="BI42" s="62"/>
      <c r="BJ42" s="62"/>
      <c r="BK42" s="40">
        <f>'E-6a (11-13)'!BK71</f>
        <v>36922246.206059702</v>
      </c>
      <c r="BL42" s="40">
        <f>SUM(BT42:BU42)</f>
        <v>7914686.5701262215</v>
      </c>
      <c r="BM42" s="62"/>
      <c r="BN42" s="62"/>
      <c r="BO42" s="97"/>
      <c r="BR42" s="95"/>
      <c r="BS42" s="98" t="s">
        <v>93</v>
      </c>
      <c r="BT42" s="40">
        <f>'E-6a (11-13)'!$BK$72</f>
        <v>474657.90930973575</v>
      </c>
      <c r="BU42" s="40">
        <f>'E-6a (11-13)'!$BK$73</f>
        <v>7440028.660816486</v>
      </c>
    </row>
    <row r="43" spans="1:73" x14ac:dyDescent="0.3">
      <c r="A43" s="61">
        <f t="shared" si="3"/>
        <v>31</v>
      </c>
      <c r="B43" s="56"/>
      <c r="C43" s="96" t="s">
        <v>90</v>
      </c>
      <c r="G43" s="62"/>
      <c r="H43" s="62"/>
      <c r="I43" s="62"/>
      <c r="J43" s="62"/>
      <c r="K43" s="40">
        <f>'E-6a (11-13)'!L71</f>
        <v>36582879.48426795</v>
      </c>
      <c r="L43" s="40">
        <f>SUM(T43:U43)</f>
        <v>5030009.7210825356</v>
      </c>
      <c r="M43" s="62"/>
      <c r="N43" s="62"/>
      <c r="O43" s="97"/>
      <c r="R43" s="95"/>
      <c r="S43" s="98" t="s">
        <v>93</v>
      </c>
      <c r="T43" s="40">
        <f>'E-6a (11-13)'!$L$72</f>
        <v>775984.86935216538</v>
      </c>
      <c r="U43" s="40">
        <f>'E-6a (11-13)'!$L$73</f>
        <v>4254024.85173037</v>
      </c>
      <c r="V43" s="40"/>
      <c r="Z43" s="32"/>
      <c r="AA43" s="61">
        <f t="shared" si="6"/>
        <v>31</v>
      </c>
      <c r="AB43" s="56"/>
      <c r="AC43" s="96" t="s">
        <v>90</v>
      </c>
      <c r="AG43" s="62"/>
      <c r="AH43" s="62"/>
      <c r="AI43" s="62"/>
      <c r="AJ43" s="62"/>
      <c r="AK43" s="40">
        <f>'E-6a (11-13)'!AL71</f>
        <v>36365320.400203697</v>
      </c>
      <c r="AL43" s="40">
        <f>SUM(AT43:AU43)</f>
        <v>5021734.3113073884</v>
      </c>
      <c r="AM43" s="62"/>
      <c r="AN43" s="62"/>
      <c r="AO43" s="97"/>
      <c r="AR43" s="95"/>
      <c r="AS43" s="98" t="s">
        <v>93</v>
      </c>
      <c r="AT43" s="40">
        <f>'E-6a (11-13)'!$AL$72</f>
        <v>774343.78510906082</v>
      </c>
      <c r="AU43" s="40">
        <f>'E-6a (11-13)'!$AL$73</f>
        <v>4247390.5261983275</v>
      </c>
      <c r="AZ43" s="32"/>
      <c r="BA43" s="61">
        <f t="shared" si="8"/>
        <v>31</v>
      </c>
      <c r="BB43" s="56"/>
      <c r="BC43" s="96" t="s">
        <v>90</v>
      </c>
      <c r="BG43" s="62"/>
      <c r="BH43" s="62"/>
      <c r="BI43" s="62"/>
      <c r="BJ43" s="62"/>
      <c r="BK43" s="40">
        <f>'E-6a (11-13)'!BL71</f>
        <v>36186085.319537759</v>
      </c>
      <c r="BL43" s="40">
        <f>SUM(BT43:BU43)</f>
        <v>4964639.9622506648</v>
      </c>
      <c r="BM43" s="62"/>
      <c r="BN43" s="62"/>
      <c r="BO43" s="97"/>
      <c r="BR43" s="95"/>
      <c r="BS43" s="98" t="s">
        <v>93</v>
      </c>
      <c r="BT43" s="40">
        <f>'E-6a (11-13)'!$BL$72</f>
        <v>768012.43626973568</v>
      </c>
      <c r="BU43" s="40">
        <f>'E-6a (11-13)'!$BL$73</f>
        <v>4196627.5259809289</v>
      </c>
    </row>
    <row r="44" spans="1:73" x14ac:dyDescent="0.3">
      <c r="A44" s="61">
        <f t="shared" si="3"/>
        <v>32</v>
      </c>
      <c r="B44" s="56"/>
      <c r="C44" s="96" t="s">
        <v>91</v>
      </c>
      <c r="G44" s="62"/>
      <c r="H44" s="62"/>
      <c r="I44" s="62"/>
      <c r="J44" s="62"/>
      <c r="K44" s="40">
        <f>'E-6a (11-13)'!M71</f>
        <v>31824110.244892307</v>
      </c>
      <c r="L44" s="40">
        <f>SUM(T44:U44)</f>
        <v>814009.41137036704</v>
      </c>
      <c r="M44" s="62"/>
      <c r="N44" s="62"/>
      <c r="R44" s="95"/>
      <c r="S44" s="98" t="s">
        <v>93</v>
      </c>
      <c r="T44" s="40">
        <f>'E-6a (11-13)'!$M$72</f>
        <v>0</v>
      </c>
      <c r="U44" s="40">
        <f>'E-6a (11-13)'!$M$73</f>
        <v>814009.41137036704</v>
      </c>
      <c r="V44" s="40"/>
      <c r="Z44" s="32"/>
      <c r="AA44" s="61">
        <f t="shared" si="6"/>
        <v>32</v>
      </c>
      <c r="AB44" s="56"/>
      <c r="AC44" s="96" t="s">
        <v>91</v>
      </c>
      <c r="AG44" s="62"/>
      <c r="AH44" s="62"/>
      <c r="AI44" s="62"/>
      <c r="AJ44" s="62"/>
      <c r="AK44" s="40">
        <f>'E-6a (11-13)'!AM71</f>
        <v>31633844.239382818</v>
      </c>
      <c r="AL44" s="40">
        <f>SUM(AT44:AU44)</f>
        <v>812636.61294647702</v>
      </c>
      <c r="AM44" s="62"/>
      <c r="AN44" s="62"/>
      <c r="AR44" s="95"/>
      <c r="AS44" s="98" t="s">
        <v>93</v>
      </c>
      <c r="AT44" s="40">
        <f>'E-6a (11-13)'!$AM$72</f>
        <v>0</v>
      </c>
      <c r="AU44" s="40">
        <f>'E-6a (11-13)'!$AM$73</f>
        <v>812636.61294647702</v>
      </c>
      <c r="AZ44" s="32"/>
      <c r="BA44" s="61">
        <f t="shared" si="8"/>
        <v>32</v>
      </c>
      <c r="BB44" s="56"/>
      <c r="BC44" s="96" t="s">
        <v>91</v>
      </c>
      <c r="BG44" s="62"/>
      <c r="BH44" s="62"/>
      <c r="BI44" s="62"/>
      <c r="BJ44" s="62"/>
      <c r="BK44" s="40">
        <f>'E-6a (11-13)'!BM71</f>
        <v>31477059.670374885</v>
      </c>
      <c r="BL44" s="40">
        <f>SUM(BT44:BU44)</f>
        <v>802125.61108837486</v>
      </c>
      <c r="BM44" s="62"/>
      <c r="BN44" s="62"/>
      <c r="BR44" s="95"/>
      <c r="BS44" s="98" t="s">
        <v>93</v>
      </c>
      <c r="BT44" s="40">
        <f>'E-6a (11-13)'!$BM$72</f>
        <v>0</v>
      </c>
      <c r="BU44" s="40">
        <f>'E-6a (11-13)'!$BM$73</f>
        <v>802125.61108837486</v>
      </c>
    </row>
    <row r="45" spans="1:73" s="58" customFormat="1" x14ac:dyDescent="0.3">
      <c r="A45" s="61">
        <f t="shared" si="3"/>
        <v>33</v>
      </c>
      <c r="B45" s="99"/>
      <c r="C45" s="100" t="s">
        <v>94</v>
      </c>
      <c r="G45" s="99">
        <f>SUM(H45:N45)</f>
        <v>0.99999999999999967</v>
      </c>
      <c r="H45" s="99">
        <f>'[7]5-E10 Class Alloc'!$U$13</f>
        <v>0.63142184644111021</v>
      </c>
      <c r="I45" s="99">
        <f>'[7]5-E10 Class Alloc'!$U$18</f>
        <v>5.3465528803797548E-2</v>
      </c>
      <c r="J45" s="99">
        <f>'[7]5-E10 Class Alloc'!$U$20</f>
        <v>3.3005036226643348E-3</v>
      </c>
      <c r="K45" s="99">
        <f>'[7]5-E10 Class Alloc'!$U$30</f>
        <v>0.26856368920038393</v>
      </c>
      <c r="L45" s="99">
        <f>'[7]5-E10 Class Alloc'!$U$36+'[7]5-E10 Class Alloc'!$U$47</f>
        <v>4.2893397677812986E-2</v>
      </c>
      <c r="M45" s="99">
        <f>'[7]5-E10 Class Alloc'!$U$49</f>
        <v>3.5503425423082487E-4</v>
      </c>
      <c r="N45" s="99"/>
      <c r="R45" s="101"/>
      <c r="S45" s="102">
        <f>SUM(H45:N45)-G45</f>
        <v>0</v>
      </c>
      <c r="T45" s="99">
        <f>'[7]5-E10 Class Alloc'!$U$36</f>
        <v>2.840274033846599E-3</v>
      </c>
      <c r="U45" s="99">
        <f>'[7]5-E10 Class Alloc'!$U$47</f>
        <v>4.005312364396639E-2</v>
      </c>
      <c r="V45" s="99"/>
      <c r="Z45" s="103"/>
      <c r="AA45" s="61">
        <f t="shared" si="6"/>
        <v>33</v>
      </c>
      <c r="AB45" s="99"/>
      <c r="AC45" s="100" t="s">
        <v>94</v>
      </c>
      <c r="AG45" s="99">
        <f>SUM(AH45:AN45)</f>
        <v>1</v>
      </c>
      <c r="AH45" s="99">
        <f>ROUND('[7]4-E10 Class Alloc'!$U$13,6)</f>
        <v>0.62521499999999997</v>
      </c>
      <c r="AI45" s="99">
        <f>ROUND('[7]4-E10 Class Alloc'!$U$18,6)</f>
        <v>5.4358999999999998E-2</v>
      </c>
      <c r="AJ45" s="99">
        <f>ROUND('[7]4-E10 Class Alloc'!$U$20,6)</f>
        <v>3.3479999999999998E-3</v>
      </c>
      <c r="AK45" s="99">
        <f>ROUND('[7]4-E10 Class Alloc'!$U$30,6)</f>
        <v>0.27296399999999998</v>
      </c>
      <c r="AL45" s="99">
        <f>ROUND(SUM(AT45:AU45),6)</f>
        <v>4.3763999999999997E-2</v>
      </c>
      <c r="AM45" s="99">
        <f>ROUND('[7]4-E10 Class Alloc'!$U$49,6)</f>
        <v>3.5E-4</v>
      </c>
      <c r="AN45" s="99"/>
      <c r="AP45" s="3"/>
      <c r="AR45" s="101"/>
      <c r="AS45" s="102">
        <f>SUM(AH45:AN45)-AG45</f>
        <v>0</v>
      </c>
      <c r="AT45" s="99">
        <f>'[7]4-E10 Class Alloc'!$U$36</f>
        <v>2.9041626331074541E-3</v>
      </c>
      <c r="AU45" s="99">
        <f>'[7]4-E10 Class Alloc'!$U$47</f>
        <v>4.0859954824136818E-2</v>
      </c>
      <c r="AZ45" s="103"/>
      <c r="BA45" s="61">
        <f t="shared" si="8"/>
        <v>33</v>
      </c>
      <c r="BB45" s="99"/>
      <c r="BC45" s="100" t="s">
        <v>94</v>
      </c>
      <c r="BG45" s="99">
        <f>SUM(BH45:BN45)</f>
        <v>0.99999999999999989</v>
      </c>
      <c r="BH45" s="99">
        <f>'[7]3-E10 Class Alloc'!$U$13</f>
        <v>0.62731465917189999</v>
      </c>
      <c r="BI45" s="99">
        <f>'[7]3-E10 Class Alloc'!$U$18</f>
        <v>5.4112932506757389E-2</v>
      </c>
      <c r="BJ45" s="99">
        <f>'[7]3-E10 Class Alloc'!$U$20</f>
        <v>3.3484394120732084E-3</v>
      </c>
      <c r="BK45" s="99">
        <f>'[7]3-E10 Class Alloc'!$U$30</f>
        <v>0.27165391390879873</v>
      </c>
      <c r="BL45" s="99">
        <f>'[7]3-E10 Class Alloc'!$U$36+'[7]3-E10 Class Alloc'!$U$47</f>
        <v>4.3220418756639727E-2</v>
      </c>
      <c r="BM45" s="99">
        <f>'[7]3-E10 Class Alloc'!$U$49</f>
        <v>3.4963624383093744E-4</v>
      </c>
      <c r="BN45" s="99"/>
      <c r="BR45" s="101"/>
      <c r="BS45" s="102">
        <f>SUM(BH45:BN45)-BG45</f>
        <v>0</v>
      </c>
      <c r="BT45" s="99">
        <f>'[7]3-E10 Class Alloc'!$U$36</f>
        <v>2.8643276898457568E-3</v>
      </c>
      <c r="BU45" s="99">
        <f>'[7]3-E10 Class Alloc'!$U$47</f>
        <v>4.035609106679397E-2</v>
      </c>
    </row>
    <row r="46" spans="1:73" s="58" customFormat="1" x14ac:dyDescent="0.3">
      <c r="A46" s="61">
        <f t="shared" si="3"/>
        <v>34</v>
      </c>
      <c r="B46" s="99"/>
      <c r="C46" s="104" t="s">
        <v>95</v>
      </c>
      <c r="G46" s="99">
        <f>SUM(H46:N46)</f>
        <v>1.0000000000000002</v>
      </c>
      <c r="H46" s="99">
        <f>'[7]5-E10 Class Alloc'!$W$13</f>
        <v>0.53261000000000003</v>
      </c>
      <c r="I46" s="99">
        <f>'[7]5-E10 Class Alloc'!$W$18</f>
        <v>5.4980000000000001E-2</v>
      </c>
      <c r="J46" s="99">
        <f>'[7]5-E10 Class Alloc'!$W$20</f>
        <v>5.1900000000000002E-3</v>
      </c>
      <c r="K46" s="99">
        <f>'[7]5-E10 Class Alloc'!$W$30</f>
        <v>0.32999000000000001</v>
      </c>
      <c r="L46" s="99">
        <f>'[7]5-E10 Class Alloc'!$W$36+'[7]5-E10 Class Alloc'!$W$47</f>
        <v>6.8879999999999997E-2</v>
      </c>
      <c r="M46" s="99">
        <f>'[7]5-E10 Class Alloc'!$W$49</f>
        <v>8.3499999999999998E-3</v>
      </c>
      <c r="N46" s="99"/>
      <c r="R46" s="101"/>
      <c r="S46" s="102">
        <f>SUM(H46:N46)-G46</f>
        <v>0</v>
      </c>
      <c r="T46" s="99">
        <f>'[7]5-E10 Class Alloc'!$W$36</f>
        <v>5.0899999999999999E-3</v>
      </c>
      <c r="U46" s="99">
        <f>'[7]5-E10 Class Alloc'!$W$47</f>
        <v>6.3789999999999999E-2</v>
      </c>
      <c r="V46" s="99"/>
      <c r="Z46" s="103"/>
      <c r="AA46" s="61">
        <f t="shared" si="6"/>
        <v>34</v>
      </c>
      <c r="AB46" s="99"/>
      <c r="AC46" s="104" t="s">
        <v>95</v>
      </c>
      <c r="AG46" s="99">
        <f>SUM(AH46:AN46)</f>
        <v>1</v>
      </c>
      <c r="AH46" s="99">
        <f>ROUND('[7]4-E10 Class Alloc'!$W$13,6)</f>
        <v>0.52597000000000005</v>
      </c>
      <c r="AI46" s="99">
        <f>ROUND('[7]4-E10 Class Alloc'!$W$18,6)</f>
        <v>5.5750000000000001E-2</v>
      </c>
      <c r="AJ46" s="99">
        <f>ROUND('[7]4-E10 Class Alloc'!$W$20,6)</f>
        <v>5.2700000000000004E-3</v>
      </c>
      <c r="AK46" s="99">
        <f>ROUND('[7]4-E10 Class Alloc'!$W$30,6)</f>
        <v>0.33446999999999999</v>
      </c>
      <c r="AL46" s="99">
        <f>ROUND(SUM(AT46:AU46),6)</f>
        <v>7.0110000000000006E-2</v>
      </c>
      <c r="AM46" s="99">
        <f>ROUND('[7]4-E10 Class Alloc'!$W$49,6)</f>
        <v>8.43E-3</v>
      </c>
      <c r="AN46" s="99"/>
      <c r="AP46" s="3"/>
      <c r="AR46" s="101"/>
      <c r="AS46" s="102">
        <f>SUM(AH46:AN46)-AG46</f>
        <v>0</v>
      </c>
      <c r="AT46" s="99">
        <f>'[7]4-E10 Class Alloc'!$W$36</f>
        <v>5.1900000000000002E-3</v>
      </c>
      <c r="AU46" s="99">
        <f>'[7]4-E10 Class Alloc'!$W$47</f>
        <v>6.4920000000000005E-2</v>
      </c>
      <c r="AZ46" s="103"/>
      <c r="BA46" s="61">
        <f t="shared" si="8"/>
        <v>34</v>
      </c>
      <c r="BB46" s="99"/>
      <c r="BC46" s="104" t="s">
        <v>95</v>
      </c>
      <c r="BG46" s="99">
        <f>SUM(BH46:BN46)</f>
        <v>0.99999999999999989</v>
      </c>
      <c r="BH46" s="99">
        <f>'[7]3-E10 Class Alloc'!$W$13</f>
        <v>0.52826000000000006</v>
      </c>
      <c r="BI46" s="99">
        <f>'[7]3-E10 Class Alloc'!$W$18</f>
        <v>5.5579999999999997E-2</v>
      </c>
      <c r="BJ46" s="99">
        <f>'[7]3-E10 Class Alloc'!$W$20</f>
        <v>5.28E-3</v>
      </c>
      <c r="BK46" s="99">
        <f>'[7]3-E10 Class Alloc'!$W$30</f>
        <v>0.33317999999999998</v>
      </c>
      <c r="BL46" s="99">
        <f>'[7]3-E10 Class Alloc'!$W$36+'[7]3-E10 Class Alloc'!$W$47</f>
        <v>6.9260000000000002E-2</v>
      </c>
      <c r="BM46" s="99">
        <f>'[7]3-E10 Class Alloc'!$W$49</f>
        <v>8.4399999999999996E-3</v>
      </c>
      <c r="BN46" s="99"/>
      <c r="BR46" s="101"/>
      <c r="BS46" s="102">
        <f>SUM(BH46:BN46)-BG46</f>
        <v>0</v>
      </c>
      <c r="BT46" s="99">
        <f>'[7]3-E10 Class Alloc'!$W$36</f>
        <v>5.11E-3</v>
      </c>
      <c r="BU46" s="99">
        <f>'[7]3-E10 Class Alloc'!$W$47</f>
        <v>6.4149999999999999E-2</v>
      </c>
    </row>
    <row r="47" spans="1:73" s="58" customFormat="1" ht="14.4" thickBot="1" x14ac:dyDescent="0.35">
      <c r="A47" s="61">
        <f t="shared" si="3"/>
        <v>35</v>
      </c>
      <c r="B47" s="99"/>
      <c r="C47" s="105" t="str">
        <f>'Procedures &amp; Inputs'!$D$217 &amp;" Allocator"</f>
        <v>12 CP and 25% AD Allocator</v>
      </c>
      <c r="D47" s="106"/>
      <c r="E47" s="106"/>
      <c r="F47" s="106"/>
      <c r="G47" s="107">
        <f>SUM(H47:N47)</f>
        <v>1</v>
      </c>
      <c r="H47" s="107">
        <f>H45*'Procedures &amp; Inputs'!$K$217+H46*'Procedures &amp; Inputs'!$L$217</f>
        <v>0.60671888483083269</v>
      </c>
      <c r="I47" s="107">
        <f>I45*'Procedures &amp; Inputs'!$K$217+I46*'Procedures &amp; Inputs'!$L$217</f>
        <v>5.3844146602848163E-2</v>
      </c>
      <c r="J47" s="107">
        <f>J45*'Procedures &amp; Inputs'!$K$217+J46*'Procedures &amp; Inputs'!$L$217</f>
        <v>3.7728777169982511E-3</v>
      </c>
      <c r="K47" s="107">
        <f>K45*'Procedures &amp; Inputs'!$K$217+K46*'Procedures &amp; Inputs'!$L$217</f>
        <v>0.28392026690028793</v>
      </c>
      <c r="L47" s="107">
        <f>L45*'Procedures &amp; Inputs'!$K$217+L46*'Procedures &amp; Inputs'!$L$217</f>
        <v>4.9390048258359742E-2</v>
      </c>
      <c r="M47" s="107">
        <f>M45*'Procedures &amp; Inputs'!$K$217+M46*'Procedures &amp; Inputs'!$L$217</f>
        <v>2.3537756906731187E-3</v>
      </c>
      <c r="N47" s="107"/>
      <c r="O47" s="107"/>
      <c r="R47" s="108"/>
      <c r="S47" s="109">
        <f>SUM(H47:N47)-G47</f>
        <v>0</v>
      </c>
      <c r="T47" s="107">
        <f>T45*'Procedures &amp; Inputs'!$K$217+T46*'Procedures &amp; Inputs'!$L$217</f>
        <v>3.4027055253849489E-3</v>
      </c>
      <c r="U47" s="107">
        <f>U45*'Procedures &amp; Inputs'!$K$217+U46*'Procedures &amp; Inputs'!$L$217</f>
        <v>4.5987342732974792E-2</v>
      </c>
      <c r="V47" s="99"/>
      <c r="Z47" s="103"/>
      <c r="AA47" s="61">
        <f t="shared" si="6"/>
        <v>35</v>
      </c>
      <c r="AB47" s="99"/>
      <c r="AC47" s="105" t="str">
        <f>'Procedures &amp; Inputs'!$D$217 &amp;" Allocator"</f>
        <v>12 CP and 25% AD Allocator</v>
      </c>
      <c r="AD47" s="106"/>
      <c r="AE47" s="106"/>
      <c r="AF47" s="106"/>
      <c r="AG47" s="107">
        <f>SUM(AH47:AN47)</f>
        <v>1</v>
      </c>
      <c r="AH47" s="107">
        <f>1-SUM(AI47:AM47)</f>
        <v>0.60040375000000001</v>
      </c>
      <c r="AI47" s="107">
        <f>AI45*'Procedures &amp; Inputs'!$K$217+AI46*'Procedures &amp; Inputs'!$L$217</f>
        <v>5.4706749999999998E-2</v>
      </c>
      <c r="AJ47" s="107">
        <f>AJ45*'Procedures &amp; Inputs'!$K$217+AJ46*'Procedures &amp; Inputs'!$L$217</f>
        <v>3.8284999999999999E-3</v>
      </c>
      <c r="AK47" s="107">
        <f>AK45*'Procedures &amp; Inputs'!$K$217+AK46*'Procedures &amp; Inputs'!$L$217</f>
        <v>0.2883405</v>
      </c>
      <c r="AL47" s="107">
        <f>AL45*'Procedures &amp; Inputs'!$K$217+AL46*'Procedures &amp; Inputs'!$L$217</f>
        <v>5.0350499999999999E-2</v>
      </c>
      <c r="AM47" s="107">
        <f>AM45*'Procedures &amp; Inputs'!$K$217+AM46*'Procedures &amp; Inputs'!$L$217</f>
        <v>2.3700000000000001E-3</v>
      </c>
      <c r="AN47" s="107"/>
      <c r="AO47" s="107"/>
      <c r="AP47" s="3"/>
      <c r="AR47" s="108"/>
      <c r="AS47" s="109">
        <f>SUM(AH47:AN47)-AG47</f>
        <v>0</v>
      </c>
      <c r="AT47" s="107">
        <f>AT45*'Procedures &amp; Inputs'!$K$217+AT46*'Procedures &amp; Inputs'!$L$217</f>
        <v>3.4756219748305907E-3</v>
      </c>
      <c r="AU47" s="107">
        <f>AU45*'Procedures &amp; Inputs'!$K$217+AU46*'Procedures &amp; Inputs'!$L$217</f>
        <v>4.6874966118102615E-2</v>
      </c>
      <c r="AZ47" s="103"/>
      <c r="BA47" s="61">
        <f t="shared" si="8"/>
        <v>35</v>
      </c>
      <c r="BB47" s="99"/>
      <c r="BC47" s="105" t="str">
        <f>'Procedures &amp; Inputs'!$D$217 &amp;" Allocator"</f>
        <v>12 CP and 25% AD Allocator</v>
      </c>
      <c r="BD47" s="106"/>
      <c r="BE47" s="106"/>
      <c r="BF47" s="106"/>
      <c r="BG47" s="107">
        <f>SUM(BH47:BN47)</f>
        <v>1</v>
      </c>
      <c r="BH47" s="107">
        <f>BH45*'Procedures &amp; Inputs'!$K$217+BH46*'Procedures &amp; Inputs'!$L$217</f>
        <v>0.60255099437892501</v>
      </c>
      <c r="BI47" s="107">
        <f>BI45*'Procedures &amp; Inputs'!$K$217+BI46*'Procedures &amp; Inputs'!$L$217</f>
        <v>5.4479699380068039E-2</v>
      </c>
      <c r="BJ47" s="107">
        <f>BJ45*'Procedures &amp; Inputs'!$K$217+BJ46*'Procedures &amp; Inputs'!$L$217</f>
        <v>3.8313295590549062E-3</v>
      </c>
      <c r="BK47" s="107">
        <f>BK45*'Procedures &amp; Inputs'!$K$217+BK46*'Procedures &amp; Inputs'!$L$217</f>
        <v>0.28703543543159904</v>
      </c>
      <c r="BL47" s="107">
        <f>BL45*'Procedures &amp; Inputs'!$K$217+BL46*'Procedures &amp; Inputs'!$L$217</f>
        <v>4.9730314067479797E-2</v>
      </c>
      <c r="BM47" s="107">
        <f>BM45*'Procedures &amp; Inputs'!$K$217+BM46*'Procedures &amp; Inputs'!$L$217</f>
        <v>2.3722271828732029E-3</v>
      </c>
      <c r="BN47" s="107"/>
      <c r="BO47" s="107"/>
      <c r="BR47" s="108"/>
      <c r="BS47" s="109">
        <f>SUM(BH47:BN47)-BG47</f>
        <v>0</v>
      </c>
      <c r="BT47" s="107">
        <f>BT45*'Procedures &amp; Inputs'!$K$217+BT46*'Procedures &amp; Inputs'!$L$217</f>
        <v>3.4257457673843176E-3</v>
      </c>
      <c r="BU47" s="107">
        <f>BU45*'Procedures &amp; Inputs'!$K$217+BU46*'Procedures &amp; Inputs'!$L$217</f>
        <v>4.6304568300095481E-2</v>
      </c>
    </row>
    <row r="48" spans="1:73" ht="14.4" thickTop="1" x14ac:dyDescent="0.3">
      <c r="A48" s="61">
        <f t="shared" si="3"/>
        <v>36</v>
      </c>
      <c r="B48" s="56"/>
      <c r="C48" s="83" t="s">
        <v>96</v>
      </c>
      <c r="G48" s="56"/>
      <c r="H48" s="110"/>
      <c r="I48" s="110"/>
      <c r="J48" s="110"/>
      <c r="K48" s="110"/>
      <c r="L48" s="110"/>
      <c r="M48" s="110"/>
      <c r="N48" s="56"/>
      <c r="O48" s="87"/>
      <c r="U48" s="56"/>
      <c r="Z48" s="32"/>
      <c r="AA48" s="61">
        <f t="shared" si="6"/>
        <v>36</v>
      </c>
      <c r="AB48" s="56"/>
      <c r="AC48" s="83" t="s">
        <v>96</v>
      </c>
      <c r="AG48" s="56"/>
      <c r="AH48" s="110"/>
      <c r="AI48" s="110"/>
      <c r="AJ48" s="110"/>
      <c r="AK48" s="110"/>
      <c r="AL48" s="110"/>
      <c r="AM48" s="110"/>
      <c r="AN48" s="56"/>
      <c r="AO48" s="87"/>
      <c r="AU48" s="56"/>
      <c r="AZ48" s="32"/>
      <c r="BA48" s="61">
        <f t="shared" si="8"/>
        <v>36</v>
      </c>
      <c r="BB48" s="56"/>
      <c r="BC48" s="83" t="s">
        <v>96</v>
      </c>
      <c r="BG48" s="56"/>
      <c r="BH48" s="110"/>
      <c r="BI48" s="110"/>
      <c r="BJ48" s="110"/>
      <c r="BK48" s="110"/>
      <c r="BL48" s="110"/>
      <c r="BM48" s="110"/>
      <c r="BN48" s="56"/>
      <c r="BO48" s="87"/>
      <c r="BU48" s="56"/>
    </row>
    <row r="49" spans="1:73" x14ac:dyDescent="0.3">
      <c r="A49" s="61">
        <f t="shared" si="3"/>
        <v>37</v>
      </c>
      <c r="B49" s="111"/>
      <c r="C49" s="90" t="s">
        <v>97</v>
      </c>
      <c r="G49" s="56"/>
      <c r="H49" s="110"/>
      <c r="I49" s="110"/>
      <c r="J49" s="110"/>
      <c r="K49" s="110"/>
      <c r="L49" s="110"/>
      <c r="M49" s="110"/>
      <c r="N49" s="110"/>
      <c r="O49" s="87"/>
      <c r="U49" s="110"/>
      <c r="Z49" s="32"/>
      <c r="AA49" s="61">
        <f t="shared" si="6"/>
        <v>37</v>
      </c>
      <c r="AB49" s="111"/>
      <c r="AC49" s="90" t="s">
        <v>97</v>
      </c>
      <c r="AG49" s="56"/>
      <c r="AH49" s="110"/>
      <c r="AI49" s="110"/>
      <c r="AJ49" s="110"/>
      <c r="AK49" s="110"/>
      <c r="AL49" s="110"/>
      <c r="AM49" s="110"/>
      <c r="AN49" s="110"/>
      <c r="AO49" s="87"/>
      <c r="AU49" s="110"/>
      <c r="AZ49" s="32"/>
      <c r="BA49" s="61">
        <f t="shared" si="8"/>
        <v>37</v>
      </c>
      <c r="BB49" s="111"/>
      <c r="BC49" s="90" t="s">
        <v>97</v>
      </c>
      <c r="BG49" s="56"/>
      <c r="BH49" s="110"/>
      <c r="BI49" s="110"/>
      <c r="BJ49" s="110"/>
      <c r="BK49" s="110"/>
      <c r="BL49" s="110"/>
      <c r="BM49" s="110"/>
      <c r="BN49" s="110"/>
      <c r="BO49" s="87"/>
      <c r="BU49" s="110"/>
    </row>
    <row r="50" spans="1:73" x14ac:dyDescent="0.3">
      <c r="A50" s="61">
        <f t="shared" si="3"/>
        <v>38</v>
      </c>
      <c r="B50" s="111"/>
      <c r="C50" s="96" t="str">
        <f>C19</f>
        <v>Distribution Primary</v>
      </c>
      <c r="F50" s="3" t="s">
        <v>256</v>
      </c>
      <c r="G50" s="56"/>
      <c r="H50" s="112">
        <f>IF(H34=0,0,(H19*1000)/H34)</f>
        <v>20.963044349250008</v>
      </c>
      <c r="I50" s="112">
        <f t="shared" ref="I50:M50" si="23">IF(I34=0,0,(I19*1000)/I34)</f>
        <v>26.905149878081907</v>
      </c>
      <c r="J50" s="112">
        <f t="shared" si="23"/>
        <v>10.942331737476101</v>
      </c>
      <c r="K50" s="112">
        <f t="shared" si="23"/>
        <v>301.52598854108396</v>
      </c>
      <c r="L50" s="112">
        <f t="shared" si="23"/>
        <v>10709.545692423835</v>
      </c>
      <c r="M50" s="112">
        <f t="shared" si="23"/>
        <v>7.168070595873818</v>
      </c>
      <c r="N50" s="110"/>
      <c r="O50" s="87"/>
      <c r="T50" s="112">
        <f>IF(T34=0,0,(T19*1000)/T34)</f>
        <v>33541.024322554666</v>
      </c>
      <c r="U50" s="112">
        <f>IF(U34=0,0,(U19*1000)/U34)</f>
        <v>9647.9907142136854</v>
      </c>
      <c r="Z50" s="32"/>
      <c r="AA50" s="61">
        <f t="shared" si="6"/>
        <v>38</v>
      </c>
      <c r="AB50" s="111"/>
      <c r="AC50" s="96" t="str">
        <f>AC19</f>
        <v>Distribution Primary</v>
      </c>
      <c r="AF50" s="3" t="s">
        <v>256</v>
      </c>
      <c r="AG50" s="56"/>
      <c r="AH50" s="112">
        <f>IF(AH34=0,0,(AH19*1000)/AH34)</f>
        <v>20.279494992974005</v>
      </c>
      <c r="AI50" s="112">
        <f t="shared" ref="AI50:AM50" si="24">IF(AI34=0,0,(AI19*1000)/AI34)</f>
        <v>26.424780118929192</v>
      </c>
      <c r="AJ50" s="112">
        <f t="shared" si="24"/>
        <v>10.708343326970331</v>
      </c>
      <c r="AK50" s="112">
        <f t="shared" si="24"/>
        <v>296.01696976882147</v>
      </c>
      <c r="AL50" s="112">
        <f t="shared" si="24"/>
        <v>10486.958450939224</v>
      </c>
      <c r="AM50" s="112">
        <f t="shared" si="24"/>
        <v>7.0154513114978911</v>
      </c>
      <c r="AN50" s="110"/>
      <c r="AO50" s="87"/>
      <c r="AT50" s="112">
        <f>IF(AT34=0,0,(AT19*1000)/AT34)</f>
        <v>32883.799395486632</v>
      </c>
      <c r="AU50" s="112">
        <f>IF(AU34=0,0,(AU19*1000)/AU34)</f>
        <v>9446.7119843571963</v>
      </c>
      <c r="AZ50" s="32"/>
      <c r="BA50" s="61">
        <f t="shared" si="8"/>
        <v>38</v>
      </c>
      <c r="BB50" s="111"/>
      <c r="BC50" s="96" t="str">
        <f>BC19</f>
        <v>Distribution Primary</v>
      </c>
      <c r="BF50" s="3" t="s">
        <v>256</v>
      </c>
      <c r="BG50" s="56"/>
      <c r="BH50" s="112">
        <f>IF(BH34=0,0,(BH19*1000)/BH34)</f>
        <v>19.85288192384235</v>
      </c>
      <c r="BI50" s="112">
        <f t="shared" ref="BI50:BM50" si="25">IF(BI34=0,0,(BI19*1000)/BI34)</f>
        <v>25.586542402484543</v>
      </c>
      <c r="BJ50" s="112">
        <f t="shared" si="25"/>
        <v>10.382392906480229</v>
      </c>
      <c r="BK50" s="112">
        <f t="shared" si="25"/>
        <v>285.51334419663738</v>
      </c>
      <c r="BL50" s="112">
        <f t="shared" si="25"/>
        <v>9947.5406269344985</v>
      </c>
      <c r="BM50" s="112">
        <f t="shared" si="25"/>
        <v>6.7933259634835572</v>
      </c>
      <c r="BN50" s="110"/>
      <c r="BO50" s="87"/>
      <c r="BT50" s="112">
        <f>IF(BT34=0,0,(BT19*1000)/BT34)</f>
        <v>31133.701923280074</v>
      </c>
      <c r="BU50" s="112">
        <f>IF(BU34=0,0,(BU19*1000)/BU34)</f>
        <v>8966.1084400076234</v>
      </c>
    </row>
    <row r="51" spans="1:73" x14ac:dyDescent="0.3">
      <c r="A51" s="61">
        <f t="shared" si="3"/>
        <v>39</v>
      </c>
      <c r="B51" s="111"/>
      <c r="C51" s="96" t="str">
        <f>C21</f>
        <v>Distribution Secondary</v>
      </c>
      <c r="F51" s="3" t="s">
        <v>257</v>
      </c>
      <c r="G51" s="56"/>
      <c r="H51" s="112">
        <f>IF(H34=0,0,(H21*1000)/H34)</f>
        <v>9.6308991227677208</v>
      </c>
      <c r="I51" s="112">
        <f t="shared" ref="I51:M51" si="26">IF(I34=0,0,(I21*1000)/I34)</f>
        <v>11.529499966628292</v>
      </c>
      <c r="J51" s="112">
        <f t="shared" si="26"/>
        <v>2.6433464783957294</v>
      </c>
      <c r="K51" s="112">
        <f t="shared" si="26"/>
        <v>76.211412703396505</v>
      </c>
      <c r="L51" s="112">
        <f t="shared" si="26"/>
        <v>1427.7247315646755</v>
      </c>
      <c r="M51" s="112">
        <f t="shared" si="26"/>
        <v>1.5313965536158807</v>
      </c>
      <c r="N51" s="110"/>
      <c r="O51" s="87"/>
      <c r="T51" s="112">
        <f>IF(T34=0,0,(T21*1000)/T34)</f>
        <v>1994.8504087914237</v>
      </c>
      <c r="U51" s="112">
        <f>IF(U34=0,0,(U21*1000)/U34)</f>
        <v>1401.3560895820951</v>
      </c>
      <c r="Z51" s="32"/>
      <c r="AA51" s="61">
        <f t="shared" si="6"/>
        <v>39</v>
      </c>
      <c r="AB51" s="111"/>
      <c r="AC51" s="96" t="str">
        <f>AC21</f>
        <v>Distribution Secondary</v>
      </c>
      <c r="AF51" s="3" t="s">
        <v>257</v>
      </c>
      <c r="AG51" s="56"/>
      <c r="AH51" s="112">
        <f>IF(AH34=0,0,(AH21*1000)/AH34)</f>
        <v>9.4023122437513624</v>
      </c>
      <c r="AI51" s="112">
        <f t="shared" ref="AI51:AM51" si="27">IF(AI34=0,0,(AI21*1000)/AI34)</f>
        <v>11.437423601708868</v>
      </c>
      <c r="AJ51" s="112">
        <f t="shared" si="27"/>
        <v>2.6201961168011367</v>
      </c>
      <c r="AK51" s="112">
        <f t="shared" si="27"/>
        <v>75.625221371297243</v>
      </c>
      <c r="AL51" s="112">
        <f t="shared" si="27"/>
        <v>1421.1000695748526</v>
      </c>
      <c r="AM51" s="112">
        <f t="shared" si="27"/>
        <v>1.517262423060785</v>
      </c>
      <c r="AN51" s="110"/>
      <c r="AO51" s="87"/>
      <c r="AT51" s="112">
        <f>IF(AT34=0,0,(AT21*1000)/AT34)</f>
        <v>1999.8199472885676</v>
      </c>
      <c r="AU51" s="112">
        <f>IF(AU34=0,0,(AU21*1000)/AU34)</f>
        <v>1394.2207739892385</v>
      </c>
      <c r="AZ51" s="32"/>
      <c r="BA51" s="61">
        <f t="shared" si="8"/>
        <v>39</v>
      </c>
      <c r="BB51" s="111"/>
      <c r="BC51" s="96" t="str">
        <f>BC21</f>
        <v>Distribution Secondary</v>
      </c>
      <c r="BF51" s="3" t="s">
        <v>257</v>
      </c>
      <c r="BG51" s="56"/>
      <c r="BH51" s="112">
        <f>IF(BH34=0,0,(BH21*1000)/BH34)</f>
        <v>9.3433381673708134</v>
      </c>
      <c r="BI51" s="112">
        <f t="shared" ref="BI51:BM51" si="28">IF(BI34=0,0,(BI21*1000)/BI34)</f>
        <v>11.246229704234802</v>
      </c>
      <c r="BJ51" s="112">
        <f t="shared" si="28"/>
        <v>2.5961429072073905</v>
      </c>
      <c r="BK51" s="112">
        <f t="shared" si="28"/>
        <v>74.521504661826427</v>
      </c>
      <c r="BL51" s="112">
        <f t="shared" si="28"/>
        <v>1395.3263175974985</v>
      </c>
      <c r="BM51" s="112">
        <f t="shared" si="28"/>
        <v>1.4980413968509236</v>
      </c>
      <c r="BN51" s="110"/>
      <c r="BO51" s="87"/>
      <c r="BT51" s="112">
        <f>IF(BT34=0,0,(BT21*1000)/BT34)</f>
        <v>1995.9792794453335</v>
      </c>
      <c r="BU51" s="112">
        <f>IF(BU34=0,0,(BU21*1000)/BU34)</f>
        <v>1367.501543600705</v>
      </c>
    </row>
    <row r="52" spans="1:73" x14ac:dyDescent="0.3">
      <c r="A52" s="61">
        <f t="shared" si="3"/>
        <v>40</v>
      </c>
      <c r="B52" s="113"/>
      <c r="C52" s="96" t="s">
        <v>98</v>
      </c>
      <c r="F52" s="3" t="s">
        <v>99</v>
      </c>
      <c r="G52" s="56"/>
      <c r="H52" s="112">
        <f t="shared" ref="H52:M52" si="29">IF(H35=0,0,(H23*1000)/H35)</f>
        <v>2.2075974669273952</v>
      </c>
      <c r="I52" s="112">
        <f t="shared" si="29"/>
        <v>2.4417089417082321</v>
      </c>
      <c r="J52" s="112">
        <f t="shared" si="29"/>
        <v>1.9961337676856277</v>
      </c>
      <c r="K52" s="112">
        <f t="shared" si="29"/>
        <v>8.323246220151594</v>
      </c>
      <c r="L52" s="112">
        <f t="shared" si="29"/>
        <v>606.16586380821332</v>
      </c>
      <c r="M52" s="112">
        <f t="shared" si="29"/>
        <v>1.7805153402248779</v>
      </c>
      <c r="N52" s="114"/>
      <c r="O52" s="87"/>
      <c r="T52" s="112">
        <f>IF(T35=0,0,(T23*1000)/T35)</f>
        <v>7247.59943088825</v>
      </c>
      <c r="U52" s="112">
        <f>IF(U35=0,0,(U23*1000)/U35)</f>
        <v>551.17016022389168</v>
      </c>
      <c r="V52" s="112"/>
      <c r="Z52" s="32"/>
      <c r="AA52" s="61">
        <f t="shared" si="6"/>
        <v>40</v>
      </c>
      <c r="AB52" s="113"/>
      <c r="AC52" s="96" t="s">
        <v>98</v>
      </c>
      <c r="AF52" s="3" t="s">
        <v>99</v>
      </c>
      <c r="AG52" s="56"/>
      <c r="AH52" s="112">
        <f t="shared" ref="AH52:AM52" si="30">IF(AH35=0,0,(AH23*1000)/AH35)</f>
        <v>2.1341350387943181</v>
      </c>
      <c r="AI52" s="112">
        <f t="shared" si="30"/>
        <v>2.3639810194280941</v>
      </c>
      <c r="AJ52" s="112">
        <f t="shared" si="30"/>
        <v>1.9159020187439655</v>
      </c>
      <c r="AK52" s="112">
        <f t="shared" si="30"/>
        <v>8.2570154689126625</v>
      </c>
      <c r="AL52" s="112">
        <f t="shared" si="30"/>
        <v>606.904279045713</v>
      </c>
      <c r="AM52" s="112">
        <f t="shared" si="30"/>
        <v>1.7002427799405866</v>
      </c>
      <c r="AN52" s="114"/>
      <c r="AO52" s="87"/>
      <c r="AT52" s="112">
        <f>IF(AT35=0,0,(AT23*1000)/AT35)</f>
        <v>7274.6231851190496</v>
      </c>
      <c r="AU52" s="112">
        <f>IF(AU35=0,0,(AU23*1000)/AU35)</f>
        <v>551.81290372037142</v>
      </c>
      <c r="AZ52" s="32"/>
      <c r="BA52" s="61">
        <f t="shared" si="8"/>
        <v>40</v>
      </c>
      <c r="BB52" s="113"/>
      <c r="BC52" s="96" t="s">
        <v>98</v>
      </c>
      <c r="BF52" s="3" t="s">
        <v>99</v>
      </c>
      <c r="BG52" s="56"/>
      <c r="BH52" s="112">
        <f t="shared" ref="BH52:BM52" si="31">IF(BH35=0,0,(BH23*1000)/BH35)</f>
        <v>2.1027705393342715</v>
      </c>
      <c r="BI52" s="112">
        <f t="shared" si="31"/>
        <v>2.3320368839536578</v>
      </c>
      <c r="BJ52" s="112">
        <f t="shared" si="31"/>
        <v>1.8766629357608626</v>
      </c>
      <c r="BK52" s="112">
        <f t="shared" si="31"/>
        <v>8.3033273413565958</v>
      </c>
      <c r="BL52" s="112">
        <f>IF(BL35=0,0,(BL23*1000)/BL35)</f>
        <v>604.65324344828866</v>
      </c>
      <c r="BM52" s="112">
        <f t="shared" si="31"/>
        <v>1.6587049075455589</v>
      </c>
      <c r="BN52" s="114"/>
      <c r="BO52" s="87"/>
      <c r="BT52" s="112">
        <f>IF(BT35=0,0,(BT23*1000)/BT35)</f>
        <v>7275.319801780076</v>
      </c>
      <c r="BU52" s="112">
        <f>IF(BU35=0,0,(BU23*1000)/BU35)</f>
        <v>549.7956066551078</v>
      </c>
    </row>
    <row r="53" spans="1:73" x14ac:dyDescent="0.3">
      <c r="A53" s="61">
        <f t="shared" si="3"/>
        <v>41</v>
      </c>
      <c r="B53" s="113"/>
      <c r="C53" s="96" t="s">
        <v>71</v>
      </c>
      <c r="F53" s="3" t="s">
        <v>100</v>
      </c>
      <c r="G53" s="56"/>
      <c r="H53" s="112">
        <f t="shared" ref="H53:M53" si="32">IF(H32=0,0,(H24*1000)/H32)</f>
        <v>3.1051353519584048</v>
      </c>
      <c r="I53" s="112">
        <f t="shared" si="32"/>
        <v>4.3807621876888474</v>
      </c>
      <c r="J53" s="112">
        <f t="shared" si="32"/>
        <v>3.2019903964314738</v>
      </c>
      <c r="K53" s="112">
        <f t="shared" si="32"/>
        <v>15.03454584983902</v>
      </c>
      <c r="L53" s="112">
        <f t="shared" si="32"/>
        <v>362.67760450521962</v>
      </c>
      <c r="M53" s="112">
        <f t="shared" si="32"/>
        <v>179.10334134158205</v>
      </c>
      <c r="N53" s="114"/>
      <c r="O53" s="87"/>
      <c r="T53" s="112">
        <f>IF(T32=0,0,(T24*1000)/T32)</f>
        <v>833.25067263193398</v>
      </c>
      <c r="U53" s="112">
        <f>IF(U32=0,0,(U24*1000)/U32)</f>
        <v>340.7981988314105</v>
      </c>
      <c r="V53" s="112"/>
      <c r="Z53" s="32"/>
      <c r="AA53" s="61">
        <f t="shared" si="6"/>
        <v>41</v>
      </c>
      <c r="AB53" s="113"/>
      <c r="AC53" s="96" t="s">
        <v>71</v>
      </c>
      <c r="AF53" s="3" t="s">
        <v>100</v>
      </c>
      <c r="AG53" s="56"/>
      <c r="AH53" s="112">
        <f t="shared" ref="AH53:AM53" si="33">IF(AH32=0,0,(AH24*1000)/AH32)</f>
        <v>2.9559315405661879</v>
      </c>
      <c r="AI53" s="112">
        <f t="shared" si="33"/>
        <v>4.1633779331975047</v>
      </c>
      <c r="AJ53" s="112">
        <f t="shared" si="33"/>
        <v>3.0362234079043655</v>
      </c>
      <c r="AK53" s="112">
        <f t="shared" si="33"/>
        <v>14.384155031529227</v>
      </c>
      <c r="AL53" s="112">
        <f t="shared" si="33"/>
        <v>349.48423448714624</v>
      </c>
      <c r="AM53" s="112">
        <f t="shared" si="33"/>
        <v>169.5387310561583</v>
      </c>
      <c r="AN53" s="114"/>
      <c r="AO53" s="87"/>
      <c r="AT53" s="112">
        <f>IF(AT32=0,0,(AT24*1000)/AT32)</f>
        <v>803.1399702032071</v>
      </c>
      <c r="AU53" s="112">
        <f>IF(AU32=0,0,(AU24*1000)/AU32)</f>
        <v>328.41368363170557</v>
      </c>
      <c r="AZ53" s="32"/>
      <c r="BA53" s="61">
        <f t="shared" si="8"/>
        <v>41</v>
      </c>
      <c r="BB53" s="113"/>
      <c r="BC53" s="96" t="s">
        <v>71</v>
      </c>
      <c r="BF53" s="3" t="s">
        <v>100</v>
      </c>
      <c r="BG53" s="56"/>
      <c r="BH53" s="112">
        <f t="shared" ref="BH53:BM53" si="34">IF(BH32=0,0,(BH24*1000)/BH32)</f>
        <v>2.8089999709666822</v>
      </c>
      <c r="BI53" s="112">
        <f t="shared" si="34"/>
        <v>3.9513576142857181</v>
      </c>
      <c r="BJ53" s="112">
        <f t="shared" si="34"/>
        <v>2.8753488762438431</v>
      </c>
      <c r="BK53" s="112">
        <f t="shared" si="34"/>
        <v>13.741193885092482</v>
      </c>
      <c r="BL53" s="112">
        <f t="shared" si="34"/>
        <v>331.88481021367329</v>
      </c>
      <c r="BM53" s="112">
        <f t="shared" si="34"/>
        <v>160.29539412712299</v>
      </c>
      <c r="BN53" s="114"/>
      <c r="BO53" s="87"/>
      <c r="BT53" s="112">
        <f>IF(BT32=0,0,(BT24*1000)/BT32)</f>
        <v>763.49909785253158</v>
      </c>
      <c r="BU53" s="112">
        <f>IF(BU32=0,0,(BU24*1000)/BU32)</f>
        <v>311.8906192745456</v>
      </c>
    </row>
    <row r="54" spans="1:73" x14ac:dyDescent="0.3">
      <c r="A54" s="61">
        <f t="shared" si="3"/>
        <v>42</v>
      </c>
      <c r="B54" s="113"/>
      <c r="C54" s="96" t="s">
        <v>72</v>
      </c>
      <c r="F54" s="3" t="s">
        <v>101</v>
      </c>
      <c r="G54" s="56"/>
      <c r="H54" s="112">
        <f t="shared" ref="H54:M54" si="35">IF(H36=0,0,(H25*1000)/H36)</f>
        <v>0</v>
      </c>
      <c r="I54" s="112">
        <f t="shared" si="35"/>
        <v>0</v>
      </c>
      <c r="J54" s="112">
        <f t="shared" si="35"/>
        <v>0</v>
      </c>
      <c r="K54" s="112">
        <f t="shared" si="35"/>
        <v>0</v>
      </c>
      <c r="L54" s="112">
        <f t="shared" si="35"/>
        <v>209.44417092086911</v>
      </c>
      <c r="M54" s="112">
        <f t="shared" si="35"/>
        <v>0</v>
      </c>
      <c r="N54" s="114"/>
      <c r="O54" s="87"/>
      <c r="T54" s="112">
        <f>IF(T36=0,0,(T25*1000)/T36)</f>
        <v>3.4547052530102635</v>
      </c>
      <c r="U54" s="112">
        <f>IF(U36=0,0,(U25*1000)/U36)</f>
        <v>218.9700013201649</v>
      </c>
      <c r="Z54" s="32"/>
      <c r="AA54" s="61">
        <f t="shared" si="6"/>
        <v>42</v>
      </c>
      <c r="AB54" s="113"/>
      <c r="AC54" s="96" t="s">
        <v>72</v>
      </c>
      <c r="AF54" s="3" t="s">
        <v>101</v>
      </c>
      <c r="AG54" s="56"/>
      <c r="AH54" s="112">
        <f t="shared" ref="AH54:AM54" si="36">IF(AH36=0,0,(AH25*1000)/AH36)</f>
        <v>0</v>
      </c>
      <c r="AI54" s="112">
        <f t="shared" si="36"/>
        <v>0</v>
      </c>
      <c r="AJ54" s="112">
        <f t="shared" si="36"/>
        <v>0</v>
      </c>
      <c r="AK54" s="112">
        <f t="shared" si="36"/>
        <v>0</v>
      </c>
      <c r="AL54" s="112">
        <f t="shared" si="36"/>
        <v>209.83697153619804</v>
      </c>
      <c r="AM54" s="112">
        <f t="shared" si="36"/>
        <v>0</v>
      </c>
      <c r="AN54" s="114"/>
      <c r="AO54" s="87"/>
      <c r="AT54" s="112">
        <f>IF(AT36=0,0,(AT25*1000)/AT36)</f>
        <v>3.5622390224884297</v>
      </c>
      <c r="AU54" s="112">
        <f>IF(AU36=0,0,(AU25*1000)/AU36)</f>
        <v>219.37956064776111</v>
      </c>
      <c r="AZ54" s="32"/>
      <c r="BA54" s="61">
        <f t="shared" si="8"/>
        <v>42</v>
      </c>
      <c r="BB54" s="113"/>
      <c r="BC54" s="96" t="s">
        <v>72</v>
      </c>
      <c r="BF54" s="3" t="s">
        <v>101</v>
      </c>
      <c r="BG54" s="56"/>
      <c r="BH54" s="112">
        <f t="shared" ref="BH54:BM54" si="37">IF(BH36=0,0,(BH25*1000)/BH36)</f>
        <v>0</v>
      </c>
      <c r="BI54" s="112">
        <f t="shared" si="37"/>
        <v>0</v>
      </c>
      <c r="BJ54" s="112">
        <f t="shared" si="37"/>
        <v>0</v>
      </c>
      <c r="BK54" s="112">
        <f t="shared" si="37"/>
        <v>0</v>
      </c>
      <c r="BL54" s="112">
        <f>IF(BL36=0,0,(BL25*1000)/BL36)</f>
        <v>231.78486631855063</v>
      </c>
      <c r="BM54" s="112">
        <f t="shared" si="37"/>
        <v>0</v>
      </c>
      <c r="BN54" s="114"/>
      <c r="BO54" s="87"/>
      <c r="BT54" s="112">
        <f>IF(BT36=0,0,(BT25*1000)/BT36)</f>
        <v>3.9037215962565468</v>
      </c>
      <c r="BU54" s="112">
        <f>IF(BU36=0,0,(BU25*1000)/BU36)</f>
        <v>242.34128034258521</v>
      </c>
    </row>
    <row r="55" spans="1:73" x14ac:dyDescent="0.3">
      <c r="A55" s="61">
        <f t="shared" si="3"/>
        <v>43</v>
      </c>
      <c r="B55" s="113"/>
      <c r="C55" s="96" t="s">
        <v>75</v>
      </c>
      <c r="F55" s="3" t="s">
        <v>102</v>
      </c>
      <c r="G55" s="56"/>
      <c r="H55" s="112">
        <f>IF(H34=0,0,(H27*1000)/H34)</f>
        <v>7.7931354405240949</v>
      </c>
      <c r="I55" s="112">
        <f>IF(I34=0,0,(I27*1000)/I34)</f>
        <v>8.3908598363973326</v>
      </c>
      <c r="J55" s="112">
        <f>IF(J34=0,0,(J27*1000)/J34)</f>
        <v>7.2512266793144162</v>
      </c>
      <c r="K55" s="112">
        <f>IF(K34=0,0,(K27*1000)/K34)</f>
        <v>23.329684597425835</v>
      </c>
      <c r="L55" s="115" t="s">
        <v>93</v>
      </c>
      <c r="M55" s="112">
        <f>IF(M34=0,0,(M27*1000)/M34)</f>
        <v>6.6986707780500421</v>
      </c>
      <c r="N55" s="114"/>
      <c r="O55" s="87"/>
      <c r="T55" s="116" t="s">
        <v>93</v>
      </c>
      <c r="U55" s="116" t="s">
        <v>93</v>
      </c>
      <c r="V55" s="116"/>
      <c r="Z55" s="32"/>
      <c r="AA55" s="61">
        <f t="shared" si="6"/>
        <v>43</v>
      </c>
      <c r="AB55" s="113"/>
      <c r="AC55" s="96" t="s">
        <v>75</v>
      </c>
      <c r="AF55" s="3" t="s">
        <v>102</v>
      </c>
      <c r="AG55" s="56"/>
      <c r="AH55" s="112">
        <f>IF(AH34=0,0,(AH27*1000)/AH34)</f>
        <v>7.6811743388368594</v>
      </c>
      <c r="AI55" s="112">
        <f>IF(AI34=0,0,(AI27*1000)/AI34)</f>
        <v>8.2691960465744003</v>
      </c>
      <c r="AJ55" s="112">
        <f>IF(AJ34=0,0,(AJ27*1000)/AJ34)</f>
        <v>7.1207387872632291</v>
      </c>
      <c r="AK55" s="112">
        <f>IF(AK34=0,0,(AK27*1000)/AK34)</f>
        <v>23.268736150384886</v>
      </c>
      <c r="AL55" s="115" t="s">
        <v>93</v>
      </c>
      <c r="AM55" s="112">
        <f>IF(AM34=0,0,(AM27*1000)/AM34)</f>
        <v>6.5669128610911294</v>
      </c>
      <c r="AN55" s="114"/>
      <c r="AO55" s="87"/>
      <c r="AT55" s="116" t="s">
        <v>93</v>
      </c>
      <c r="AU55" s="116" t="s">
        <v>93</v>
      </c>
      <c r="AZ55" s="32"/>
      <c r="BA55" s="61">
        <f t="shared" si="8"/>
        <v>43</v>
      </c>
      <c r="BB55" s="113"/>
      <c r="BC55" s="96" t="s">
        <v>75</v>
      </c>
      <c r="BF55" s="3" t="s">
        <v>102</v>
      </c>
      <c r="BG55" s="56"/>
      <c r="BH55" s="112">
        <f>IF(BH34=0,0,(BH27*1000)/BH34)</f>
        <v>7.7004827016547699</v>
      </c>
      <c r="BI55" s="112">
        <f>IF(BI34=0,0,(BI27*1000)/BI34)</f>
        <v>8.293010358958675</v>
      </c>
      <c r="BJ55" s="112">
        <f>IF(BJ34=0,0,(BJ27*1000)/BJ34)</f>
        <v>7.1138568924135877</v>
      </c>
      <c r="BK55" s="112">
        <f>IF(BK34=0,0,(BK27*1000)/BK34)</f>
        <v>23.647894353182636</v>
      </c>
      <c r="BL55" s="115" t="s">
        <v>93</v>
      </c>
      <c r="BM55" s="112">
        <f>IF(BM34=0,0,(BM27*1000)/BM34)</f>
        <v>6.5483747827378487</v>
      </c>
      <c r="BN55" s="114"/>
      <c r="BO55" s="87"/>
      <c r="BT55" s="116" t="s">
        <v>93</v>
      </c>
      <c r="BU55" s="116" t="s">
        <v>93</v>
      </c>
    </row>
    <row r="56" spans="1:73" x14ac:dyDescent="0.3">
      <c r="A56" s="61">
        <f t="shared" si="3"/>
        <v>44</v>
      </c>
      <c r="B56" s="113"/>
      <c r="C56" s="92" t="s">
        <v>103</v>
      </c>
      <c r="G56" s="56"/>
      <c r="H56" s="117">
        <f t="shared" ref="H56:M56" si="38">SUM(H50:H55)</f>
        <v>43.699811731427623</v>
      </c>
      <c r="I56" s="117">
        <f t="shared" si="38"/>
        <v>53.647980810504613</v>
      </c>
      <c r="J56" s="117">
        <f t="shared" si="38"/>
        <v>26.035029059303348</v>
      </c>
      <c r="K56" s="117">
        <f t="shared" si="38"/>
        <v>424.42487791189694</v>
      </c>
      <c r="L56" s="117">
        <f t="shared" si="38"/>
        <v>13315.558063222812</v>
      </c>
      <c r="M56" s="117">
        <f t="shared" si="38"/>
        <v>196.28199460934667</v>
      </c>
      <c r="N56" s="114"/>
      <c r="O56" s="87"/>
      <c r="T56" s="117">
        <f>SUM(T50:T55)</f>
        <v>43620.179540119287</v>
      </c>
      <c r="U56" s="117">
        <f>SUM(U50:U55)</f>
        <v>12160.28516417125</v>
      </c>
      <c r="V56" s="116"/>
      <c r="Z56" s="32"/>
      <c r="AA56" s="61">
        <f t="shared" si="6"/>
        <v>44</v>
      </c>
      <c r="AB56" s="113"/>
      <c r="AC56" s="92" t="s">
        <v>103</v>
      </c>
      <c r="AG56" s="56"/>
      <c r="AH56" s="117">
        <f t="shared" ref="AH56:AM56" si="39">SUM(AH50:AH55)</f>
        <v>42.45304815492274</v>
      </c>
      <c r="AI56" s="117">
        <f t="shared" si="39"/>
        <v>52.658758719838062</v>
      </c>
      <c r="AJ56" s="117">
        <f t="shared" si="39"/>
        <v>25.401403657683026</v>
      </c>
      <c r="AK56" s="117">
        <f t="shared" si="39"/>
        <v>417.55209779094548</v>
      </c>
      <c r="AL56" s="117">
        <f t="shared" si="39"/>
        <v>13074.284005583137</v>
      </c>
      <c r="AM56" s="117">
        <f t="shared" si="39"/>
        <v>186.33860043174869</v>
      </c>
      <c r="AN56" s="114"/>
      <c r="AO56" s="87"/>
      <c r="AT56" s="117">
        <f>SUM(AT50:AT55)</f>
        <v>42964.944737119949</v>
      </c>
      <c r="AU56" s="117">
        <f>SUM(AU50:AU55)</f>
        <v>11940.538906346272</v>
      </c>
      <c r="AZ56" s="32"/>
      <c r="BA56" s="61">
        <f t="shared" si="8"/>
        <v>44</v>
      </c>
      <c r="BB56" s="113"/>
      <c r="BC56" s="92" t="s">
        <v>103</v>
      </c>
      <c r="BG56" s="56"/>
      <c r="BH56" s="117">
        <f t="shared" ref="BH56:BM56" si="40">SUM(BH50:BH55)</f>
        <v>41.808473303168888</v>
      </c>
      <c r="BI56" s="117">
        <f t="shared" si="40"/>
        <v>51.409176963917396</v>
      </c>
      <c r="BJ56" s="117">
        <f t="shared" si="40"/>
        <v>24.844404518105911</v>
      </c>
      <c r="BK56" s="117">
        <f t="shared" si="40"/>
        <v>405.72726443809552</v>
      </c>
      <c r="BL56" s="117">
        <f t="shared" si="40"/>
        <v>12511.189864512509</v>
      </c>
      <c r="BM56" s="117">
        <f t="shared" si="40"/>
        <v>176.79384117774089</v>
      </c>
      <c r="BN56" s="114"/>
      <c r="BO56" s="87"/>
      <c r="BT56" s="117">
        <f>SUM(BT50:BT55)</f>
        <v>41172.403823954272</v>
      </c>
      <c r="BU56" s="117">
        <f>SUM(BU50:BU55)</f>
        <v>11437.637489880566</v>
      </c>
    </row>
    <row r="57" spans="1:73" x14ac:dyDescent="0.3">
      <c r="A57" s="61">
        <f t="shared" si="3"/>
        <v>45</v>
      </c>
      <c r="B57" s="111"/>
      <c r="C57" s="90" t="s">
        <v>104</v>
      </c>
      <c r="G57" s="56"/>
      <c r="H57" s="118"/>
      <c r="I57" s="118"/>
      <c r="J57" s="118"/>
      <c r="K57" s="118"/>
      <c r="L57" s="118"/>
      <c r="M57" s="118"/>
      <c r="N57" s="119"/>
      <c r="O57" s="87"/>
      <c r="U57" s="119"/>
      <c r="Z57" s="32"/>
      <c r="AA57" s="61">
        <f t="shared" si="6"/>
        <v>45</v>
      </c>
      <c r="AB57" s="111"/>
      <c r="AC57" s="90" t="s">
        <v>104</v>
      </c>
      <c r="AG57" s="56"/>
      <c r="AH57" s="118"/>
      <c r="AI57" s="118"/>
      <c r="AJ57" s="118"/>
      <c r="AK57" s="118"/>
      <c r="AL57" s="118"/>
      <c r="AM57" s="118"/>
      <c r="AN57" s="119"/>
      <c r="AO57" s="87"/>
      <c r="AU57" s="119"/>
      <c r="AZ57" s="32"/>
      <c r="BA57" s="61">
        <f t="shared" si="8"/>
        <v>45</v>
      </c>
      <c r="BB57" s="111"/>
      <c r="BC57" s="90" t="s">
        <v>104</v>
      </c>
      <c r="BG57" s="56"/>
      <c r="BH57" s="118"/>
      <c r="BI57" s="118"/>
      <c r="BJ57" s="118"/>
      <c r="BK57" s="118"/>
      <c r="BL57" s="118"/>
      <c r="BM57" s="118"/>
      <c r="BN57" s="119"/>
      <c r="BO57" s="87"/>
      <c r="BU57" s="119"/>
    </row>
    <row r="58" spans="1:73" x14ac:dyDescent="0.3">
      <c r="A58" s="61">
        <f t="shared" si="3"/>
        <v>46</v>
      </c>
      <c r="B58" s="56"/>
      <c r="C58" s="63" t="s">
        <v>63</v>
      </c>
      <c r="F58" s="3" t="s">
        <v>105</v>
      </c>
      <c r="G58" s="56"/>
      <c r="H58" s="112">
        <f t="shared" ref="H58:M58" si="41">+(H17*1000)/H38</f>
        <v>7.3187058564999559</v>
      </c>
      <c r="I58" s="112">
        <f t="shared" si="41"/>
        <v>8.4370585378990981</v>
      </c>
      <c r="J58" s="112">
        <f t="shared" si="41"/>
        <v>4.9124039876899968</v>
      </c>
      <c r="K58" s="112">
        <f t="shared" si="41"/>
        <v>4.6276925077779412</v>
      </c>
      <c r="L58" s="112">
        <f t="shared" si="41"/>
        <v>3.4144658964975769</v>
      </c>
      <c r="M58" s="112">
        <f t="shared" si="41"/>
        <v>6.864705686457965</v>
      </c>
      <c r="N58" s="114"/>
      <c r="O58" s="87"/>
      <c r="T58" s="112">
        <f>+(T17*1000)/T38</f>
        <v>4.8369947312462331</v>
      </c>
      <c r="U58" s="112">
        <f>+(U17*1000)/U38</f>
        <v>3.3006428653130682</v>
      </c>
      <c r="Z58" s="32"/>
      <c r="AA58" s="61">
        <f t="shared" si="6"/>
        <v>46</v>
      </c>
      <c r="AB58" s="56"/>
      <c r="AC58" s="63" t="s">
        <v>63</v>
      </c>
      <c r="AF58" s="3" t="s">
        <v>105</v>
      </c>
      <c r="AG58" s="56"/>
      <c r="AH58" s="112">
        <f t="shared" ref="AH58:AM58" si="42">+(AH17*1000)/AH38</f>
        <v>6.9271225930011457</v>
      </c>
      <c r="AI58" s="112">
        <f t="shared" si="42"/>
        <v>8.0039495855903446</v>
      </c>
      <c r="AJ58" s="112">
        <f t="shared" si="42"/>
        <v>4.5146874203659033</v>
      </c>
      <c r="AK58" s="112">
        <f t="shared" si="42"/>
        <v>4.1957277705115299</v>
      </c>
      <c r="AL58" s="112">
        <f t="shared" si="42"/>
        <v>3.0197889716858493</v>
      </c>
      <c r="AM58" s="112">
        <f t="shared" si="42"/>
        <v>6.5407086358987661</v>
      </c>
      <c r="AN58" s="114"/>
      <c r="AO58" s="87"/>
      <c r="AT58" s="112">
        <f>+(AT17*1000)/AT38</f>
        <v>4.4365603152874202</v>
      </c>
      <c r="AU58" s="112">
        <f>+(AU17*1000)/AU38</f>
        <v>2.9064619657912494</v>
      </c>
      <c r="AZ58" s="32"/>
      <c r="BA58" s="61">
        <f t="shared" si="8"/>
        <v>46</v>
      </c>
      <c r="BB58" s="56"/>
      <c r="BC58" s="63" t="s">
        <v>63</v>
      </c>
      <c r="BF58" s="3" t="s">
        <v>105</v>
      </c>
      <c r="BG58" s="56"/>
      <c r="BH58" s="112">
        <f t="shared" ref="BH58:BM58" si="43">+(BH17*1000)/BH38</f>
        <v>6.9622918562080276</v>
      </c>
      <c r="BI58" s="112">
        <f t="shared" si="43"/>
        <v>8.0642793840151104</v>
      </c>
      <c r="BJ58" s="112">
        <f t="shared" si="43"/>
        <v>4.5266545790110522</v>
      </c>
      <c r="BK58" s="112">
        <f t="shared" si="43"/>
        <v>4.2282773389536379</v>
      </c>
      <c r="BL58" s="112">
        <f t="shared" si="43"/>
        <v>3.044363369992666</v>
      </c>
      <c r="BM58" s="112">
        <f t="shared" si="43"/>
        <v>6.5471301902097947</v>
      </c>
      <c r="BN58" s="114"/>
      <c r="BO58" s="87"/>
      <c r="BT58" s="112">
        <f>+(BT17*1000)/BT38</f>
        <v>4.4696650539723555</v>
      </c>
      <c r="BU58" s="112">
        <f>+(BU17*1000)/BU38</f>
        <v>2.930507943352552</v>
      </c>
    </row>
    <row r="59" spans="1:73" x14ac:dyDescent="0.3">
      <c r="A59" s="61">
        <f t="shared" si="3"/>
        <v>47</v>
      </c>
      <c r="B59" s="113"/>
      <c r="C59" s="92" t="s">
        <v>106</v>
      </c>
      <c r="G59" s="56"/>
      <c r="H59" s="117">
        <f t="shared" ref="H59:M59" si="44">SUM(H57:H58)</f>
        <v>7.3187058564999559</v>
      </c>
      <c r="I59" s="117">
        <f t="shared" si="44"/>
        <v>8.4370585378990981</v>
      </c>
      <c r="J59" s="117">
        <f t="shared" si="44"/>
        <v>4.9124039876899968</v>
      </c>
      <c r="K59" s="117">
        <f t="shared" si="44"/>
        <v>4.6276925077779412</v>
      </c>
      <c r="L59" s="117">
        <f t="shared" si="44"/>
        <v>3.4144658964975769</v>
      </c>
      <c r="M59" s="117">
        <f t="shared" si="44"/>
        <v>6.864705686457965</v>
      </c>
      <c r="N59" s="114"/>
      <c r="O59" s="87"/>
      <c r="T59" s="117">
        <f>SUM(T57:T58)</f>
        <v>4.8369947312462331</v>
      </c>
      <c r="U59" s="117">
        <f>SUM(U57:U58)</f>
        <v>3.3006428653130682</v>
      </c>
      <c r="V59" s="116"/>
      <c r="Z59" s="32"/>
      <c r="AA59" s="61">
        <f t="shared" si="6"/>
        <v>47</v>
      </c>
      <c r="AB59" s="113"/>
      <c r="AC59" s="92" t="s">
        <v>106</v>
      </c>
      <c r="AG59" s="56"/>
      <c r="AH59" s="117">
        <f t="shared" ref="AH59:AM59" si="45">SUM(AH57:AH58)</f>
        <v>6.9271225930011457</v>
      </c>
      <c r="AI59" s="117">
        <f t="shared" si="45"/>
        <v>8.0039495855903446</v>
      </c>
      <c r="AJ59" s="117">
        <f t="shared" si="45"/>
        <v>4.5146874203659033</v>
      </c>
      <c r="AK59" s="117">
        <f t="shared" si="45"/>
        <v>4.1957277705115299</v>
      </c>
      <c r="AL59" s="117">
        <f t="shared" si="45"/>
        <v>3.0197889716858493</v>
      </c>
      <c r="AM59" s="117">
        <f t="shared" si="45"/>
        <v>6.5407086358987661</v>
      </c>
      <c r="AN59" s="114"/>
      <c r="AO59" s="87"/>
      <c r="AT59" s="117">
        <f>SUM(AT57:AT58)</f>
        <v>4.4365603152874202</v>
      </c>
      <c r="AU59" s="117">
        <f>SUM(AU57:AU58)</f>
        <v>2.9064619657912494</v>
      </c>
      <c r="AZ59" s="32"/>
      <c r="BA59" s="61">
        <f t="shared" si="8"/>
        <v>47</v>
      </c>
      <c r="BB59" s="113"/>
      <c r="BC59" s="92" t="s">
        <v>106</v>
      </c>
      <c r="BG59" s="56"/>
      <c r="BH59" s="117">
        <f t="shared" ref="BH59:BM59" si="46">SUM(BH57:BH58)</f>
        <v>6.9622918562080276</v>
      </c>
      <c r="BI59" s="117">
        <f t="shared" si="46"/>
        <v>8.0642793840151104</v>
      </c>
      <c r="BJ59" s="117">
        <f t="shared" si="46"/>
        <v>4.5266545790110522</v>
      </c>
      <c r="BK59" s="117">
        <f t="shared" si="46"/>
        <v>4.2282773389536379</v>
      </c>
      <c r="BL59" s="117">
        <f t="shared" si="46"/>
        <v>3.044363369992666</v>
      </c>
      <c r="BM59" s="117">
        <f t="shared" si="46"/>
        <v>6.5471301902097947</v>
      </c>
      <c r="BN59" s="114"/>
      <c r="BO59" s="87"/>
      <c r="BT59" s="117">
        <f>SUM(BT57:BT58)</f>
        <v>4.4696650539723555</v>
      </c>
      <c r="BU59" s="117">
        <f>SUM(BU57:BU58)</f>
        <v>2.930507943352552</v>
      </c>
    </row>
    <row r="60" spans="1:73" x14ac:dyDescent="0.3">
      <c r="A60" s="61">
        <f t="shared" si="3"/>
        <v>48</v>
      </c>
      <c r="B60" s="56"/>
      <c r="C60" s="90" t="s">
        <v>107</v>
      </c>
      <c r="G60" s="56"/>
      <c r="H60" s="118"/>
      <c r="I60" s="118"/>
      <c r="J60" s="118"/>
      <c r="K60" s="118"/>
      <c r="L60" s="118"/>
      <c r="M60" s="118"/>
      <c r="N60" s="118"/>
      <c r="O60" s="87"/>
      <c r="T60" s="118"/>
      <c r="U60" s="118"/>
      <c r="Z60" s="32"/>
      <c r="AA60" s="61">
        <f t="shared" si="6"/>
        <v>48</v>
      </c>
      <c r="AB60" s="56"/>
      <c r="AC60" s="90" t="s">
        <v>107</v>
      </c>
      <c r="AG60" s="56"/>
      <c r="AH60" s="118"/>
      <c r="AI60" s="118"/>
      <c r="AJ60" s="118"/>
      <c r="AK60" s="118"/>
      <c r="AL60" s="118"/>
      <c r="AM60" s="118"/>
      <c r="AN60" s="118"/>
      <c r="AO60" s="87"/>
      <c r="AT60" s="118"/>
      <c r="AU60" s="118"/>
      <c r="AZ60" s="32"/>
      <c r="BA60" s="61">
        <f t="shared" si="8"/>
        <v>48</v>
      </c>
      <c r="BB60" s="56"/>
      <c r="BC60" s="90" t="s">
        <v>107</v>
      </c>
      <c r="BG60" s="56"/>
      <c r="BH60" s="118"/>
      <c r="BI60" s="118"/>
      <c r="BJ60" s="118"/>
      <c r="BK60" s="118"/>
      <c r="BL60" s="118"/>
      <c r="BM60" s="118"/>
      <c r="BN60" s="118"/>
      <c r="BO60" s="87"/>
      <c r="BT60" s="118"/>
      <c r="BU60" s="118"/>
    </row>
    <row r="61" spans="1:73" x14ac:dyDescent="0.3">
      <c r="A61" s="61">
        <f t="shared" si="3"/>
        <v>49</v>
      </c>
      <c r="B61" s="56"/>
      <c r="C61" s="63" t="s">
        <v>108</v>
      </c>
      <c r="F61" s="3" t="s">
        <v>109</v>
      </c>
      <c r="G61" s="56"/>
      <c r="H61" s="112">
        <f t="shared" ref="H61:M61" si="47">+(H14*1000)/H38</f>
        <v>30.016550249681679</v>
      </c>
      <c r="I61" s="112">
        <f t="shared" si="47"/>
        <v>24.032751759458264</v>
      </c>
      <c r="J61" s="112">
        <f t="shared" si="47"/>
        <v>15.677336964830719</v>
      </c>
      <c r="K61" s="112">
        <f t="shared" si="47"/>
        <v>20.079849100820503</v>
      </c>
      <c r="L61" s="112">
        <f t="shared" si="47"/>
        <v>15.247920930212079</v>
      </c>
      <c r="M61" s="112">
        <f t="shared" si="47"/>
        <v>1.0538966051494483</v>
      </c>
      <c r="N61" s="114"/>
      <c r="O61" s="87"/>
      <c r="T61" s="112">
        <f>+(T14*1000)/T38</f>
        <v>13.62827758702735</v>
      </c>
      <c r="U61" s="112">
        <f>+(U14*1000)/U38</f>
        <v>15.377515993774832</v>
      </c>
      <c r="Z61" s="32"/>
      <c r="AA61" s="61">
        <f t="shared" si="6"/>
        <v>49</v>
      </c>
      <c r="AB61" s="56"/>
      <c r="AC61" s="63" t="s">
        <v>108</v>
      </c>
      <c r="AF61" s="3" t="s">
        <v>109</v>
      </c>
      <c r="AG61" s="56"/>
      <c r="AH61" s="112">
        <f t="shared" ref="AH61:AM61" si="48">+(AH14*1000)/AH38</f>
        <v>29.144762748398573</v>
      </c>
      <c r="AI61" s="112">
        <f t="shared" si="48"/>
        <v>24.142494225842338</v>
      </c>
      <c r="AJ61" s="112">
        <f t="shared" si="48"/>
        <v>15.700024256626651</v>
      </c>
      <c r="AK61" s="112">
        <f t="shared" si="48"/>
        <v>20.165140532481079</v>
      </c>
      <c r="AL61" s="112">
        <f t="shared" si="48"/>
        <v>15.319278940318847</v>
      </c>
      <c r="AM61" s="112">
        <f t="shared" si="48"/>
        <v>1.0265847924800806</v>
      </c>
      <c r="AN61" s="114"/>
      <c r="AO61" s="87"/>
      <c r="AT61" s="112">
        <f>+(AT14*1000)/AT38</f>
        <v>13.725500177782775</v>
      </c>
      <c r="AU61" s="112">
        <f>+(AU14*1000)/AU38</f>
        <v>15.446809106810516</v>
      </c>
      <c r="AZ61" s="32"/>
      <c r="BA61" s="61">
        <f t="shared" si="8"/>
        <v>49</v>
      </c>
      <c r="BB61" s="56"/>
      <c r="BC61" s="63" t="s">
        <v>108</v>
      </c>
      <c r="BF61" s="3" t="s">
        <v>109</v>
      </c>
      <c r="BG61" s="56"/>
      <c r="BH61" s="112">
        <f t="shared" ref="BH61:BM61" si="49">+(BH14*1000)/BH38</f>
        <v>28.41638134030417</v>
      </c>
      <c r="BI61" s="112">
        <f t="shared" si="49"/>
        <v>23.444487671192267</v>
      </c>
      <c r="BJ61" s="112">
        <f t="shared" si="49"/>
        <v>15.294882989163797</v>
      </c>
      <c r="BK61" s="112">
        <f t="shared" si="49"/>
        <v>19.587842161401337</v>
      </c>
      <c r="BL61" s="112">
        <f t="shared" si="49"/>
        <v>14.890115419170431</v>
      </c>
      <c r="BM61" s="112">
        <f t="shared" si="49"/>
        <v>0.99869128166883614</v>
      </c>
      <c r="BN61" s="114"/>
      <c r="BO61" s="87"/>
      <c r="BT61" s="112">
        <f>+(BT14*1000)/BT38</f>
        <v>13.340159222520317</v>
      </c>
      <c r="BU61" s="112">
        <f>+(BU14*1000)/BU38</f>
        <v>15.013928451896492</v>
      </c>
    </row>
    <row r="62" spans="1:73" x14ac:dyDescent="0.3">
      <c r="A62" s="61">
        <f t="shared" si="3"/>
        <v>50</v>
      </c>
      <c r="B62" s="56"/>
      <c r="C62" s="120" t="s">
        <v>110</v>
      </c>
      <c r="F62" s="3" t="s">
        <v>111</v>
      </c>
      <c r="G62" s="56"/>
      <c r="H62" s="112">
        <f t="shared" ref="H62:M62" si="50">+(H15*1000)/H38</f>
        <v>8.4397432654525701</v>
      </c>
      <c r="I62" s="112">
        <f t="shared" si="50"/>
        <v>8.2378354882567812</v>
      </c>
      <c r="J62" s="112">
        <f t="shared" si="50"/>
        <v>8.2174710437866612</v>
      </c>
      <c r="K62" s="112">
        <f t="shared" si="50"/>
        <v>8.2241812913581391</v>
      </c>
      <c r="L62" s="112">
        <f t="shared" si="50"/>
        <v>8.1619149685304109</v>
      </c>
      <c r="M62" s="112">
        <f t="shared" si="50"/>
        <v>8.2621479928868737</v>
      </c>
      <c r="N62" s="114"/>
      <c r="O62" s="87"/>
      <c r="T62" s="112">
        <f>+(T15*1000)/T38</f>
        <v>8.1409906334546882</v>
      </c>
      <c r="U62" s="112">
        <f>+(U15*1000)/U38</f>
        <v>8.1635892201769575</v>
      </c>
      <c r="Z62" s="32"/>
      <c r="AA62" s="61">
        <f t="shared" si="6"/>
        <v>50</v>
      </c>
      <c r="AB62" s="56"/>
      <c r="AC62" s="120" t="s">
        <v>110</v>
      </c>
      <c r="AF62" s="3" t="s">
        <v>111</v>
      </c>
      <c r="AG62" s="56"/>
      <c r="AH62" s="112">
        <f t="shared" ref="AH62:AM62" si="51">+(AH15*1000)/AH38</f>
        <v>8.1727996837222392</v>
      </c>
      <c r="AI62" s="112">
        <f t="shared" si="51"/>
        <v>8.2534266211097229</v>
      </c>
      <c r="AJ62" s="112">
        <f t="shared" si="51"/>
        <v>8.2376670482300316</v>
      </c>
      <c r="AK62" s="112">
        <f t="shared" si="51"/>
        <v>8.2362931301062297</v>
      </c>
      <c r="AL62" s="112">
        <f t="shared" si="51"/>
        <v>8.1805033551606687</v>
      </c>
      <c r="AM62" s="112">
        <f t="shared" si="51"/>
        <v>8.2420093339115041</v>
      </c>
      <c r="AN62" s="114"/>
      <c r="AO62" s="87"/>
      <c r="AT62" s="112">
        <f>+(AT15*1000)/AT38</f>
        <v>8.17623470423794</v>
      </c>
      <c r="AU62" s="112">
        <f>+(AU15*1000)/AU38</f>
        <v>8.1808448029394274</v>
      </c>
      <c r="AZ62" s="32"/>
      <c r="BA62" s="61">
        <f t="shared" si="8"/>
        <v>50</v>
      </c>
      <c r="BB62" s="56"/>
      <c r="BC62" s="120" t="s">
        <v>110</v>
      </c>
      <c r="BF62" s="3" t="s">
        <v>111</v>
      </c>
      <c r="BG62" s="56"/>
      <c r="BH62" s="112">
        <f t="shared" ref="BH62:BM62" si="52">+(BH15*1000)/BH38</f>
        <v>7.9764529583101513</v>
      </c>
      <c r="BI62" s="112">
        <f t="shared" si="52"/>
        <v>8.026698760055476</v>
      </c>
      <c r="BJ62" s="112">
        <f t="shared" si="52"/>
        <v>8.039265684147832</v>
      </c>
      <c r="BK62" s="112">
        <f t="shared" si="52"/>
        <v>8.008078069420268</v>
      </c>
      <c r="BL62" s="112">
        <f t="shared" si="52"/>
        <v>7.9537205145142389</v>
      </c>
      <c r="BM62" s="112">
        <f t="shared" si="52"/>
        <v>8.0359274016995226</v>
      </c>
      <c r="BN62" s="114"/>
      <c r="BO62" s="87"/>
      <c r="BT62" s="112">
        <f>+(BT15*1000)/BT38</f>
        <v>7.933009186150958</v>
      </c>
      <c r="BU62" s="112">
        <f>+(BU15*1000)/BU38</f>
        <v>7.9553749692543061</v>
      </c>
    </row>
    <row r="63" spans="1:73" x14ac:dyDescent="0.3">
      <c r="A63" s="61">
        <f t="shared" si="3"/>
        <v>51</v>
      </c>
      <c r="B63" s="56"/>
      <c r="C63" s="63" t="s">
        <v>64</v>
      </c>
      <c r="F63" s="3" t="s">
        <v>112</v>
      </c>
      <c r="G63" s="56"/>
      <c r="H63" s="112">
        <f t="shared" ref="H63:M64" si="53">+(H18*1000)/H38</f>
        <v>16.312890602211269</v>
      </c>
      <c r="I63" s="112">
        <f t="shared" si="53"/>
        <v>13.721001075455424</v>
      </c>
      <c r="J63" s="112">
        <f t="shared" si="53"/>
        <v>8.3888804445925054</v>
      </c>
      <c r="K63" s="112">
        <f t="shared" si="53"/>
        <v>10.494845945579165</v>
      </c>
      <c r="L63" s="112">
        <f t="shared" si="53"/>
        <v>7.6916727481955114</v>
      </c>
      <c r="M63" s="112">
        <f t="shared" si="53"/>
        <v>1.7310046378352772</v>
      </c>
      <c r="N63" s="114"/>
      <c r="O63" s="87"/>
      <c r="T63" s="112">
        <f>+(T18*1000)/T38</f>
        <v>7.3492555942650739</v>
      </c>
      <c r="U63" s="112">
        <f>+(U18*1000)/U38</f>
        <v>7.7190711090848509</v>
      </c>
      <c r="Z63" s="32"/>
      <c r="AA63" s="61">
        <f t="shared" si="6"/>
        <v>51</v>
      </c>
      <c r="AB63" s="56"/>
      <c r="AC63" s="63" t="s">
        <v>64</v>
      </c>
      <c r="AF63" s="3" t="s">
        <v>112</v>
      </c>
      <c r="AG63" s="56"/>
      <c r="AH63" s="112">
        <f t="shared" ref="AH63:AM64" si="54">+(AH18*1000)/AH38</f>
        <v>15.729231925468156</v>
      </c>
      <c r="AI63" s="112">
        <f t="shared" si="54"/>
        <v>13.608002713190883</v>
      </c>
      <c r="AJ63" s="112">
        <f t="shared" si="54"/>
        <v>8.2891977433245234</v>
      </c>
      <c r="AK63" s="112">
        <f t="shared" si="54"/>
        <v>10.388950598160584</v>
      </c>
      <c r="AL63" s="112">
        <f t="shared" si="54"/>
        <v>7.6158026046523046</v>
      </c>
      <c r="AM63" s="112">
        <f t="shared" si="54"/>
        <v>1.7179801943878896</v>
      </c>
      <c r="AN63" s="114"/>
      <c r="AO63" s="87"/>
      <c r="AT63" s="112">
        <f>+(AT18*1000)/AT38</f>
        <v>7.2994709135919154</v>
      </c>
      <c r="AU63" s="112">
        <f>+(AU18*1000)/AU38</f>
        <v>7.6411058574173678</v>
      </c>
      <c r="AZ63" s="32"/>
      <c r="BA63" s="61">
        <f t="shared" si="8"/>
        <v>51</v>
      </c>
      <c r="BB63" s="56"/>
      <c r="BC63" s="63" t="s">
        <v>64</v>
      </c>
      <c r="BF63" s="3" t="s">
        <v>112</v>
      </c>
      <c r="BG63" s="56"/>
      <c r="BH63" s="112">
        <f t="shared" ref="BH63:BM64" si="55">+(BH18*1000)/BH38</f>
        <v>15.060487582109774</v>
      </c>
      <c r="BI63" s="112">
        <f t="shared" si="55"/>
        <v>13.011990272812794</v>
      </c>
      <c r="BJ63" s="112">
        <f t="shared" si="55"/>
        <v>7.9273864748224492</v>
      </c>
      <c r="BK63" s="112">
        <f t="shared" si="55"/>
        <v>9.9052838656004774</v>
      </c>
      <c r="BL63" s="112">
        <f t="shared" si="55"/>
        <v>7.2580448130833064</v>
      </c>
      <c r="BM63" s="112">
        <f t="shared" si="55"/>
        <v>1.6781231610624168</v>
      </c>
      <c r="BN63" s="114"/>
      <c r="BO63" s="87"/>
      <c r="BT63" s="112">
        <f>+(BT18*1000)/BT38</f>
        <v>6.9733231555537563</v>
      </c>
      <c r="BU63" s="112">
        <f>+(BU18*1000)/BU38</f>
        <v>7.2807888441583239</v>
      </c>
    </row>
    <row r="64" spans="1:73" x14ac:dyDescent="0.3">
      <c r="A64" s="61">
        <f t="shared" si="3"/>
        <v>52</v>
      </c>
      <c r="B64" s="56"/>
      <c r="C64" s="63" t="s">
        <v>65</v>
      </c>
      <c r="F64" s="3" t="s">
        <v>113</v>
      </c>
      <c r="G64" s="56"/>
      <c r="H64" s="112">
        <f t="shared" si="53"/>
        <v>22.044091509886947</v>
      </c>
      <c r="I64" s="112">
        <f t="shared" si="53"/>
        <v>19.492311505198543</v>
      </c>
      <c r="J64" s="112">
        <f t="shared" si="53"/>
        <v>9.4245532432664483</v>
      </c>
      <c r="K64" s="112">
        <f t="shared" si="53"/>
        <v>13.995480009363217</v>
      </c>
      <c r="L64" s="112">
        <f t="shared" si="53"/>
        <v>12.693698492503936</v>
      </c>
      <c r="M64" s="112">
        <f t="shared" si="53"/>
        <v>16.953546097065608</v>
      </c>
      <c r="N64" s="114"/>
      <c r="O64" s="87"/>
      <c r="T64" s="112">
        <f>+(T19*1000)/T39</f>
        <v>13.377922933390009</v>
      </c>
      <c r="U64" s="112">
        <f>+(U19*1000)/U39</f>
        <v>12.589617761057511</v>
      </c>
      <c r="Z64" s="32"/>
      <c r="AA64" s="61">
        <f t="shared" si="6"/>
        <v>52</v>
      </c>
      <c r="AB64" s="56"/>
      <c r="AC64" s="63" t="s">
        <v>65</v>
      </c>
      <c r="AF64" s="3" t="s">
        <v>113</v>
      </c>
      <c r="AG64" s="56"/>
      <c r="AH64" s="112">
        <f t="shared" si="54"/>
        <v>20.915555544922352</v>
      </c>
      <c r="AI64" s="112">
        <f t="shared" si="54"/>
        <v>19.014942881520252</v>
      </c>
      <c r="AJ64" s="112">
        <f t="shared" si="54"/>
        <v>9.1718384985831083</v>
      </c>
      <c r="AK64" s="112">
        <f t="shared" si="54"/>
        <v>13.648974514795785</v>
      </c>
      <c r="AL64" s="112">
        <f t="shared" si="54"/>
        <v>12.389426400422581</v>
      </c>
      <c r="AM64" s="112">
        <f t="shared" si="54"/>
        <v>16.445948540892786</v>
      </c>
      <c r="AN64" s="114"/>
      <c r="AO64" s="87"/>
      <c r="AT64" s="112">
        <f>+(AT19*1000)/AT39</f>
        <v>13.064597141228399</v>
      </c>
      <c r="AU64" s="112">
        <f>+(AU19*1000)/AU39</f>
        <v>12.286765291207765</v>
      </c>
      <c r="AZ64" s="32"/>
      <c r="BA64" s="61">
        <f t="shared" si="8"/>
        <v>52</v>
      </c>
      <c r="BB64" s="56"/>
      <c r="BC64" s="63" t="s">
        <v>65</v>
      </c>
      <c r="BF64" s="3" t="s">
        <v>113</v>
      </c>
      <c r="BG64" s="56"/>
      <c r="BH64" s="112">
        <f t="shared" si="55"/>
        <v>20.133646931052947</v>
      </c>
      <c r="BI64" s="112">
        <f t="shared" si="55"/>
        <v>18.273938678386852</v>
      </c>
      <c r="BJ64" s="112">
        <f t="shared" si="55"/>
        <v>8.8313331456370392</v>
      </c>
      <c r="BK64" s="112">
        <f t="shared" si="55"/>
        <v>13.075246094003504</v>
      </c>
      <c r="BL64" s="112">
        <f t="shared" si="55"/>
        <v>11.896117224584794</v>
      </c>
      <c r="BM64" s="112">
        <f t="shared" si="55"/>
        <v>15.742037277542469</v>
      </c>
      <c r="BN64" s="114"/>
      <c r="BO64" s="87"/>
      <c r="BT64" s="112">
        <f>+(BT19*1000)/BT39</f>
        <v>12.504857509921441</v>
      </c>
      <c r="BU64" s="112">
        <f>+(BU19*1000)/BU39</f>
        <v>11.803688737703565</v>
      </c>
    </row>
    <row r="65" spans="1:73" x14ac:dyDescent="0.3">
      <c r="A65" s="61">
        <f t="shared" si="3"/>
        <v>53</v>
      </c>
      <c r="B65" s="56"/>
      <c r="C65" s="63" t="s">
        <v>68</v>
      </c>
      <c r="F65" s="3" t="s">
        <v>114</v>
      </c>
      <c r="G65" s="56"/>
      <c r="H65" s="112">
        <f t="shared" ref="H65:M65" si="56">+(H21*1000)/H40</f>
        <v>10.127556763594653</v>
      </c>
      <c r="I65" s="112">
        <f t="shared" si="56"/>
        <v>8.4563157290938182</v>
      </c>
      <c r="J65" s="112">
        <f t="shared" si="56"/>
        <v>2.2766957010378088</v>
      </c>
      <c r="K65" s="112">
        <f t="shared" si="56"/>
        <v>4.119454735046749</v>
      </c>
      <c r="L65" s="112">
        <f t="shared" si="56"/>
        <v>7.1102037938256828</v>
      </c>
      <c r="M65" s="112">
        <f t="shared" si="56"/>
        <v>3.6219791249766962</v>
      </c>
      <c r="N65" s="114"/>
      <c r="O65" s="87"/>
      <c r="T65" s="112"/>
      <c r="U65" s="112">
        <f>+(U21*1000)/U40</f>
        <v>6.6688170575927659</v>
      </c>
      <c r="Z65" s="32"/>
      <c r="AA65" s="61">
        <f t="shared" si="6"/>
        <v>53</v>
      </c>
      <c r="AB65" s="56"/>
      <c r="AC65" s="63" t="s">
        <v>68</v>
      </c>
      <c r="AF65" s="3" t="s">
        <v>114</v>
      </c>
      <c r="AG65" s="56"/>
      <c r="AH65" s="112">
        <f t="shared" ref="AH65:AM65" si="57">+(AH21*1000)/AH40</f>
        <v>9.6972130742416276</v>
      </c>
      <c r="AI65" s="112">
        <f t="shared" si="57"/>
        <v>8.3319958044236984</v>
      </c>
      <c r="AJ65" s="112">
        <f t="shared" si="57"/>
        <v>2.2442328270692373</v>
      </c>
      <c r="AK65" s="112">
        <f t="shared" si="57"/>
        <v>4.0612355288709088</v>
      </c>
      <c r="AL65" s="112">
        <f t="shared" si="57"/>
        <v>7.054179967400664</v>
      </c>
      <c r="AM65" s="112">
        <f t="shared" si="57"/>
        <v>3.5568374185409621</v>
      </c>
      <c r="AN65" s="114"/>
      <c r="AO65" s="87"/>
      <c r="AT65" s="112"/>
      <c r="AU65" s="112">
        <f>+(AU21*1000)/AU40</f>
        <v>6.6135790673042516</v>
      </c>
      <c r="AZ65" s="32"/>
      <c r="BA65" s="61">
        <f t="shared" si="8"/>
        <v>53</v>
      </c>
      <c r="BB65" s="56"/>
      <c r="BC65" s="63" t="s">
        <v>68</v>
      </c>
      <c r="BF65" s="3" t="s">
        <v>114</v>
      </c>
      <c r="BG65" s="56"/>
      <c r="BH65" s="112">
        <f t="shared" ref="BH65:BM65" si="58">+(BH21*1000)/BH40</f>
        <v>9.4754742682148176</v>
      </c>
      <c r="BI65" s="112">
        <f t="shared" si="58"/>
        <v>8.1311607457143662</v>
      </c>
      <c r="BJ65" s="112">
        <f t="shared" si="58"/>
        <v>2.2082965953755096</v>
      </c>
      <c r="BK65" s="112">
        <f t="shared" si="58"/>
        <v>3.9742142218363985</v>
      </c>
      <c r="BL65" s="112">
        <f t="shared" si="58"/>
        <v>7.0069536853136967</v>
      </c>
      <c r="BM65" s="112">
        <f t="shared" si="58"/>
        <v>3.4713811230745466</v>
      </c>
      <c r="BN65" s="114"/>
      <c r="BO65" s="87"/>
      <c r="BT65" s="112"/>
      <c r="BU65" s="112">
        <f>+(BU21*1000)/BU40</f>
        <v>6.5631903478431193</v>
      </c>
    </row>
    <row r="66" spans="1:73" x14ac:dyDescent="0.3">
      <c r="A66" s="61">
        <f t="shared" si="3"/>
        <v>54</v>
      </c>
      <c r="B66" s="113"/>
      <c r="C66" s="92" t="s">
        <v>115</v>
      </c>
      <c r="G66" s="56"/>
      <c r="H66" s="117">
        <f t="shared" ref="H66:M66" si="59">SUM(H60:H65)</f>
        <v>86.940832390827111</v>
      </c>
      <c r="I66" s="117">
        <f t="shared" si="59"/>
        <v>73.940215557462821</v>
      </c>
      <c r="J66" s="117">
        <f t="shared" si="59"/>
        <v>43.984937397514145</v>
      </c>
      <c r="K66" s="117">
        <f t="shared" si="59"/>
        <v>56.913811082167776</v>
      </c>
      <c r="L66" s="117">
        <f t="shared" si="59"/>
        <v>50.905410933267618</v>
      </c>
      <c r="M66" s="117">
        <f t="shared" si="59"/>
        <v>31.622574457913906</v>
      </c>
      <c r="N66" s="114"/>
      <c r="O66" s="87"/>
      <c r="T66" s="117">
        <f>SUM(T60:T65)</f>
        <v>42.496446748137124</v>
      </c>
      <c r="U66" s="117">
        <f>SUM(U60:U65)</f>
        <v>50.518611141686918</v>
      </c>
      <c r="V66" s="116"/>
      <c r="Z66" s="32"/>
      <c r="AA66" s="61">
        <f t="shared" si="6"/>
        <v>54</v>
      </c>
      <c r="AB66" s="113"/>
      <c r="AC66" s="92" t="s">
        <v>115</v>
      </c>
      <c r="AG66" s="56"/>
      <c r="AH66" s="117">
        <f t="shared" ref="AH66:AM66" si="60">SUM(AH60:AH65)</f>
        <v>83.659562976752952</v>
      </c>
      <c r="AI66" s="117">
        <f t="shared" si="60"/>
        <v>73.350862246086891</v>
      </c>
      <c r="AJ66" s="117">
        <f t="shared" si="60"/>
        <v>43.642960373833553</v>
      </c>
      <c r="AK66" s="117">
        <f t="shared" si="60"/>
        <v>56.500594304414591</v>
      </c>
      <c r="AL66" s="117">
        <f t="shared" si="60"/>
        <v>50.559191267955065</v>
      </c>
      <c r="AM66" s="117">
        <f t="shared" si="60"/>
        <v>30.989360280213223</v>
      </c>
      <c r="AN66" s="114"/>
      <c r="AO66" s="87"/>
      <c r="AT66" s="117">
        <f>SUM(AT60:AT65)</f>
        <v>42.265802936841027</v>
      </c>
      <c r="AU66" s="117">
        <f>SUM(AU60:AU65)</f>
        <v>50.169104125679333</v>
      </c>
      <c r="AZ66" s="32"/>
      <c r="BA66" s="61">
        <f t="shared" si="8"/>
        <v>54</v>
      </c>
      <c r="BB66" s="113"/>
      <c r="BC66" s="92" t="s">
        <v>115</v>
      </c>
      <c r="BG66" s="56"/>
      <c r="BH66" s="117">
        <f t="shared" ref="BH66:BM66" si="61">SUM(BH60:BH65)</f>
        <v>81.062443079991851</v>
      </c>
      <c r="BI66" s="117">
        <f t="shared" si="61"/>
        <v>70.888276128161763</v>
      </c>
      <c r="BJ66" s="117">
        <f t="shared" si="61"/>
        <v>42.301164889146627</v>
      </c>
      <c r="BK66" s="117">
        <f t="shared" si="61"/>
        <v>54.550664412261987</v>
      </c>
      <c r="BL66" s="117">
        <f t="shared" si="61"/>
        <v>49.004951656666464</v>
      </c>
      <c r="BM66" s="117">
        <f t="shared" si="61"/>
        <v>29.926160245047793</v>
      </c>
      <c r="BN66" s="114"/>
      <c r="BO66" s="87"/>
      <c r="BT66" s="117">
        <f>SUM(BT60:BT65)</f>
        <v>40.751349074146475</v>
      </c>
      <c r="BU66" s="117">
        <f>SUM(BU60:BU65)</f>
        <v>48.616971350855806</v>
      </c>
    </row>
    <row r="67" spans="1:73" x14ac:dyDescent="0.3">
      <c r="A67" s="61">
        <f t="shared" si="3"/>
        <v>55</v>
      </c>
      <c r="B67" s="56"/>
      <c r="C67" s="90" t="s">
        <v>116</v>
      </c>
      <c r="G67" s="56"/>
      <c r="H67" s="118"/>
      <c r="I67" s="118"/>
      <c r="J67" s="118"/>
      <c r="K67" s="118"/>
      <c r="L67" s="118"/>
      <c r="M67" s="118"/>
      <c r="N67" s="118"/>
      <c r="O67" s="87"/>
      <c r="T67" s="118"/>
      <c r="U67" s="118"/>
      <c r="Z67" s="32"/>
      <c r="AA67" s="61">
        <f t="shared" si="6"/>
        <v>55</v>
      </c>
      <c r="AB67" s="56"/>
      <c r="AC67" s="90" t="s">
        <v>116</v>
      </c>
      <c r="AG67" s="56"/>
      <c r="AH67" s="118"/>
      <c r="AI67" s="118"/>
      <c r="AJ67" s="118"/>
      <c r="AK67" s="118"/>
      <c r="AL67" s="118"/>
      <c r="AM67" s="118"/>
      <c r="AN67" s="118"/>
      <c r="AO67" s="87"/>
      <c r="AT67" s="118"/>
      <c r="AU67" s="118"/>
      <c r="AZ67" s="32"/>
      <c r="BA67" s="61">
        <f t="shared" si="8"/>
        <v>55</v>
      </c>
      <c r="BB67" s="56"/>
      <c r="BC67" s="90" t="s">
        <v>116</v>
      </c>
      <c r="BG67" s="56"/>
      <c r="BH67" s="118"/>
      <c r="BI67" s="118"/>
      <c r="BJ67" s="118"/>
      <c r="BK67" s="118"/>
      <c r="BL67" s="118"/>
      <c r="BM67" s="118"/>
      <c r="BN67" s="118"/>
      <c r="BO67" s="87"/>
      <c r="BT67" s="118"/>
      <c r="BU67" s="118"/>
    </row>
    <row r="68" spans="1:73" x14ac:dyDescent="0.3">
      <c r="A68" s="61">
        <f t="shared" si="3"/>
        <v>56</v>
      </c>
      <c r="B68" s="56"/>
      <c r="C68" s="63" t="s">
        <v>108</v>
      </c>
      <c r="F68" s="3" t="s">
        <v>117</v>
      </c>
      <c r="G68" s="56"/>
      <c r="H68" s="114"/>
      <c r="I68" s="114"/>
      <c r="J68" s="114"/>
      <c r="K68" s="112">
        <f>+(K14*1000)/K42</f>
        <v>7.1761345598004089</v>
      </c>
      <c r="L68" s="112">
        <f>+(L14*1000)/L42</f>
        <v>5.3261597027961178</v>
      </c>
      <c r="M68" s="114"/>
      <c r="N68" s="114"/>
      <c r="O68" s="87"/>
      <c r="T68" s="112">
        <f>+(T14*1000)/T42</f>
        <v>5.870071287732781</v>
      </c>
      <c r="U68" s="112">
        <f>+(U14*1000)/U42</f>
        <v>5.2913917832223536</v>
      </c>
      <c r="Z68" s="32"/>
      <c r="AA68" s="61">
        <f t="shared" si="6"/>
        <v>56</v>
      </c>
      <c r="AB68" s="56"/>
      <c r="AC68" s="63" t="s">
        <v>108</v>
      </c>
      <c r="AF68" s="3" t="s">
        <v>117</v>
      </c>
      <c r="AG68" s="56"/>
      <c r="AH68" s="114"/>
      <c r="AI68" s="114"/>
      <c r="AJ68" s="114"/>
      <c r="AK68" s="112">
        <f>+(AK14*1000)/AK42</f>
        <v>7.2137965341002017</v>
      </c>
      <c r="AL68" s="112">
        <f>+(AL14*1000)/AL42</f>
        <v>5.3521394414634074</v>
      </c>
      <c r="AM68" s="114"/>
      <c r="AN68" s="114"/>
      <c r="AO68" s="87"/>
      <c r="AT68" s="112">
        <f>+(AT14*1000)/AT42</f>
        <v>5.9209535892603427</v>
      </c>
      <c r="AU68" s="112">
        <f>+(AU14*1000)/AU42</f>
        <v>5.3158573572413541</v>
      </c>
      <c r="AZ68" s="32"/>
      <c r="BA68" s="61">
        <f t="shared" si="8"/>
        <v>56</v>
      </c>
      <c r="BB68" s="56"/>
      <c r="BC68" s="63" t="s">
        <v>108</v>
      </c>
      <c r="BF68" s="3" t="s">
        <v>117</v>
      </c>
      <c r="BG68" s="56"/>
      <c r="BH68" s="114"/>
      <c r="BI68" s="114"/>
      <c r="BJ68" s="114"/>
      <c r="BK68" s="112">
        <f>+(BK14*1000)/BK42</f>
        <v>7.0070007290573981</v>
      </c>
      <c r="BL68" s="112">
        <f>+(BL14*1000)/BL42</f>
        <v>5.2006731396887513</v>
      </c>
      <c r="BM68" s="114"/>
      <c r="BN68" s="114"/>
      <c r="BO68" s="87"/>
      <c r="BT68" s="112">
        <f>+(BT14*1000)/BT42</f>
        <v>5.7470673865137822</v>
      </c>
      <c r="BU68" s="112">
        <f>+(BU14*1000)/BU42</f>
        <v>5.1658143558479406</v>
      </c>
    </row>
    <row r="69" spans="1:73" x14ac:dyDescent="0.3">
      <c r="A69" s="61">
        <f t="shared" si="3"/>
        <v>57</v>
      </c>
      <c r="B69" s="56"/>
      <c r="C69" s="63" t="s">
        <v>110</v>
      </c>
      <c r="F69" s="3" t="s">
        <v>118</v>
      </c>
      <c r="G69" s="56"/>
      <c r="H69" s="114"/>
      <c r="I69" s="114"/>
      <c r="J69" s="114"/>
      <c r="K69" s="112">
        <f>+(K15*1000)/K42</f>
        <v>2.9391571268614514</v>
      </c>
      <c r="L69" s="112">
        <f>+(L15*1000)/L42</f>
        <v>2.8509895087992487</v>
      </c>
      <c r="M69" s="114"/>
      <c r="N69" s="114"/>
      <c r="O69" s="87"/>
      <c r="T69" s="112">
        <f>+(T15*1000)/T42</f>
        <v>3.5065469620778114</v>
      </c>
      <c r="U69" s="112">
        <f>+(U15*1000)/U42</f>
        <v>2.8090849613639781</v>
      </c>
      <c r="Z69" s="32"/>
      <c r="AA69" s="61">
        <f t="shared" si="6"/>
        <v>57</v>
      </c>
      <c r="AB69" s="56"/>
      <c r="AC69" s="63" t="s">
        <v>110</v>
      </c>
      <c r="AF69" s="3" t="s">
        <v>118</v>
      </c>
      <c r="AG69" s="56"/>
      <c r="AH69" s="114"/>
      <c r="AI69" s="114"/>
      <c r="AJ69" s="114"/>
      <c r="AK69" s="112">
        <f>+(AK15*1000)/AK42</f>
        <v>2.946418485905951</v>
      </c>
      <c r="AL69" s="112">
        <f>+(AL15*1000)/AL42</f>
        <v>2.8580453968330097</v>
      </c>
      <c r="AM69" s="114"/>
      <c r="AN69" s="114"/>
      <c r="AO69" s="87"/>
      <c r="AT69" s="112">
        <f>+(AT15*1000)/AT42</f>
        <v>3.5270923166104224</v>
      </c>
      <c r="AU69" s="112">
        <f>+(AU15*1000)/AU42</f>
        <v>2.8153519431389395</v>
      </c>
      <c r="AZ69" s="32"/>
      <c r="BA69" s="61">
        <f t="shared" si="8"/>
        <v>57</v>
      </c>
      <c r="BB69" s="56"/>
      <c r="BC69" s="63" t="s">
        <v>110</v>
      </c>
      <c r="BF69" s="3" t="s">
        <v>118</v>
      </c>
      <c r="BG69" s="56"/>
      <c r="BH69" s="114"/>
      <c r="BI69" s="114"/>
      <c r="BJ69" s="114"/>
      <c r="BK69" s="112">
        <f>+(BK15*1000)/BK42</f>
        <v>2.8646651534362797</v>
      </c>
      <c r="BL69" s="112">
        <f>+(BL15*1000)/BL42</f>
        <v>2.7779973140550807</v>
      </c>
      <c r="BM69" s="114"/>
      <c r="BN69" s="114"/>
      <c r="BO69" s="87"/>
      <c r="BT69" s="112">
        <f>+(BT15*1000)/BT42</f>
        <v>3.4176157578146915</v>
      </c>
      <c r="BU69" s="112">
        <f>+(BU15*1000)/BU42</f>
        <v>2.7371910259194157</v>
      </c>
    </row>
    <row r="70" spans="1:73" x14ac:dyDescent="0.3">
      <c r="A70" s="61">
        <f t="shared" si="3"/>
        <v>58</v>
      </c>
      <c r="B70" s="56"/>
      <c r="C70" s="63" t="s">
        <v>64</v>
      </c>
      <c r="F70" s="3" t="s">
        <v>119</v>
      </c>
      <c r="G70" s="56"/>
      <c r="H70" s="114"/>
      <c r="I70" s="114"/>
      <c r="J70" s="114"/>
      <c r="K70" s="112">
        <f>+(K18*1000)/K42</f>
        <v>3.7506470447915077</v>
      </c>
      <c r="L70" s="112">
        <f>+(L18*1000)/L42</f>
        <v>2.6867320224203319</v>
      </c>
      <c r="M70" s="114"/>
      <c r="N70" s="114"/>
      <c r="O70" s="87"/>
      <c r="T70" s="112">
        <f>+(T18*1000)/T42</f>
        <v>3.1655250617414912</v>
      </c>
      <c r="U70" s="112">
        <f>+(U18*1000)/U42</f>
        <v>2.6561266109074753</v>
      </c>
      <c r="Z70" s="32"/>
      <c r="AA70" s="61">
        <f t="shared" si="6"/>
        <v>58</v>
      </c>
      <c r="AB70" s="56"/>
      <c r="AC70" s="63" t="s">
        <v>64</v>
      </c>
      <c r="AF70" s="3" t="s">
        <v>119</v>
      </c>
      <c r="AG70" s="56"/>
      <c r="AH70" s="114"/>
      <c r="AI70" s="114"/>
      <c r="AJ70" s="114"/>
      <c r="AK70" s="112">
        <f>+(AK18*1000)/AK42</f>
        <v>3.7165015387437079</v>
      </c>
      <c r="AL70" s="112">
        <f>+(AL18*1000)/AL42</f>
        <v>2.6607543121028234</v>
      </c>
      <c r="AM70" s="114"/>
      <c r="AN70" s="114"/>
      <c r="AO70" s="87"/>
      <c r="AT70" s="112">
        <f>+(AT18*1000)/AT42</f>
        <v>3.1488709297088278</v>
      </c>
      <c r="AU70" s="112">
        <f>+(AU18*1000)/AU42</f>
        <v>2.6296064454957979</v>
      </c>
      <c r="AZ70" s="32"/>
      <c r="BA70" s="61">
        <f t="shared" si="8"/>
        <v>58</v>
      </c>
      <c r="BB70" s="56"/>
      <c r="BC70" s="63" t="s">
        <v>64</v>
      </c>
      <c r="BF70" s="3" t="s">
        <v>119</v>
      </c>
      <c r="BG70" s="56"/>
      <c r="BH70" s="114"/>
      <c r="BI70" s="114"/>
      <c r="BJ70" s="114"/>
      <c r="BK70" s="112">
        <f>+(BK18*1000)/BK42</f>
        <v>3.5433372750241534</v>
      </c>
      <c r="BL70" s="112">
        <f>+(BL18*1000)/BL42</f>
        <v>2.535018543742261</v>
      </c>
      <c r="BM70" s="114"/>
      <c r="BN70" s="114"/>
      <c r="BO70" s="87"/>
      <c r="BT70" s="112">
        <f>+(BT18*1000)/BT42</f>
        <v>3.0041738943602279</v>
      </c>
      <c r="BU70" s="112">
        <f>+(BU18*1000)/BU42</f>
        <v>2.5050874362132531</v>
      </c>
    </row>
    <row r="71" spans="1:73" x14ac:dyDescent="0.3">
      <c r="A71" s="61">
        <f t="shared" si="3"/>
        <v>59</v>
      </c>
      <c r="B71" s="56"/>
      <c r="C71" s="63" t="s">
        <v>65</v>
      </c>
      <c r="F71" s="3" t="s">
        <v>120</v>
      </c>
      <c r="G71" s="56"/>
      <c r="H71" s="114"/>
      <c r="I71" s="114"/>
      <c r="J71" s="114"/>
      <c r="K71" s="112">
        <f>+(K19*1000)/K43</f>
        <v>4.9168738816949098</v>
      </c>
      <c r="L71" s="112">
        <f>+(L19*1000)/L43</f>
        <v>3.9733829254031847</v>
      </c>
      <c r="M71" s="114"/>
      <c r="N71" s="114"/>
      <c r="O71" s="87"/>
      <c r="T71" s="112">
        <f>+(T19*1000)/T43</f>
        <v>3.5838717768899793</v>
      </c>
      <c r="U71" s="112">
        <f>+(U19*1000)/U43</f>
        <v>4.0444344044671316</v>
      </c>
      <c r="Z71" s="32"/>
      <c r="AA71" s="61">
        <f t="shared" si="6"/>
        <v>59</v>
      </c>
      <c r="AB71" s="56"/>
      <c r="AC71" s="63" t="s">
        <v>65</v>
      </c>
      <c r="AF71" s="3" t="s">
        <v>120</v>
      </c>
      <c r="AG71" s="56"/>
      <c r="AH71" s="114"/>
      <c r="AI71" s="114"/>
      <c r="AJ71" s="114"/>
      <c r="AK71" s="112">
        <f>+(AK19*1000)/AK43</f>
        <v>4.7996052345257381</v>
      </c>
      <c r="AL71" s="112">
        <f>+(AL19*1000)/AL43</f>
        <v>3.8786098250739847</v>
      </c>
      <c r="AM71" s="114"/>
      <c r="AN71" s="114"/>
      <c r="AO71" s="87"/>
      <c r="AT71" s="112">
        <f>+(AT19*1000)/AT43</f>
        <v>3.5007496977354617</v>
      </c>
      <c r="AU71" s="112">
        <f>+(AU19*1000)/AU43</f>
        <v>3.9474976844408962</v>
      </c>
      <c r="AZ71" s="32"/>
      <c r="BA71" s="61">
        <f t="shared" si="8"/>
        <v>59</v>
      </c>
      <c r="BB71" s="56"/>
      <c r="BC71" s="63" t="s">
        <v>65</v>
      </c>
      <c r="BF71" s="3" t="s">
        <v>120</v>
      </c>
      <c r="BG71" s="56"/>
      <c r="BH71" s="114"/>
      <c r="BI71" s="114"/>
      <c r="BJ71" s="114"/>
      <c r="BK71" s="112">
        <f>+(BK19*1000)/BK43</f>
        <v>4.5979702006068077</v>
      </c>
      <c r="BL71" s="112">
        <f>+(BL19*1000)/BL43</f>
        <v>3.7170653538512588</v>
      </c>
      <c r="BM71" s="114"/>
      <c r="BN71" s="114"/>
      <c r="BO71" s="87"/>
      <c r="BT71" s="112">
        <f>+(BT19*1000)/BT43</f>
        <v>3.3294806338467415</v>
      </c>
      <c r="BU71" s="112">
        <f>+(BU19*1000)/BU43</f>
        <v>3.7879960912657062</v>
      </c>
    </row>
    <row r="72" spans="1:73" x14ac:dyDescent="0.3">
      <c r="A72" s="61">
        <f t="shared" si="3"/>
        <v>60</v>
      </c>
      <c r="B72" s="56"/>
      <c r="C72" s="63" t="s">
        <v>68</v>
      </c>
      <c r="F72" s="3" t="s">
        <v>121</v>
      </c>
      <c r="G72" s="56"/>
      <c r="H72" s="114"/>
      <c r="I72" s="114"/>
      <c r="J72" s="114"/>
      <c r="K72" s="112">
        <f>+(K21*1000)/K44</f>
        <v>1.4285845433099498</v>
      </c>
      <c r="L72" s="112">
        <f>+(L21*1000)/L44</f>
        <v>3.2732053618853101</v>
      </c>
      <c r="M72" s="114"/>
      <c r="N72" s="114"/>
      <c r="O72" s="87"/>
      <c r="T72" s="116" t="s">
        <v>93</v>
      </c>
      <c r="U72" s="116" t="s">
        <v>93</v>
      </c>
      <c r="Z72" s="32"/>
      <c r="AA72" s="61">
        <f t="shared" si="6"/>
        <v>60</v>
      </c>
      <c r="AB72" s="56"/>
      <c r="AC72" s="63" t="s">
        <v>68</v>
      </c>
      <c r="AF72" s="3" t="s">
        <v>121</v>
      </c>
      <c r="AG72" s="56"/>
      <c r="AH72" s="114"/>
      <c r="AI72" s="114"/>
      <c r="AJ72" s="114"/>
      <c r="AK72" s="112">
        <f>+(AK21*1000)/AK44</f>
        <v>1.4095841740358055</v>
      </c>
      <c r="AL72" s="112">
        <f>+(AL21*1000)/AL44</f>
        <v>3.2479441498063215</v>
      </c>
      <c r="AM72" s="114"/>
      <c r="AN72" s="114"/>
      <c r="AO72" s="87"/>
      <c r="AT72" s="116" t="s">
        <v>93</v>
      </c>
      <c r="AU72" s="116" t="s">
        <v>93</v>
      </c>
      <c r="AZ72" s="32"/>
      <c r="BA72" s="61">
        <f t="shared" si="8"/>
        <v>60</v>
      </c>
      <c r="BB72" s="56"/>
      <c r="BC72" s="63" t="s">
        <v>68</v>
      </c>
      <c r="BF72" s="3" t="s">
        <v>121</v>
      </c>
      <c r="BG72" s="56"/>
      <c r="BH72" s="114"/>
      <c r="BI72" s="114"/>
      <c r="BJ72" s="114"/>
      <c r="BK72" s="112">
        <f>+(BK21*1000)/BK44</f>
        <v>1.3796496083714693</v>
      </c>
      <c r="BL72" s="112">
        <f>+(BL21*1000)/BL44</f>
        <v>3.2270495709531968</v>
      </c>
      <c r="BM72" s="114"/>
      <c r="BN72" s="114"/>
      <c r="BO72" s="87"/>
      <c r="BT72" s="116" t="s">
        <v>93</v>
      </c>
      <c r="BU72" s="116" t="s">
        <v>93</v>
      </c>
    </row>
    <row r="73" spans="1:73" x14ac:dyDescent="0.3">
      <c r="A73" s="61">
        <f t="shared" si="3"/>
        <v>61</v>
      </c>
      <c r="B73" s="113"/>
      <c r="C73" s="92" t="s">
        <v>122</v>
      </c>
      <c r="G73" s="56"/>
      <c r="H73" s="117">
        <f t="shared" ref="H73:M73" si="62">SUM(H67:H72)</f>
        <v>0</v>
      </c>
      <c r="I73" s="117">
        <f t="shared" si="62"/>
        <v>0</v>
      </c>
      <c r="J73" s="117">
        <f t="shared" si="62"/>
        <v>0</v>
      </c>
      <c r="K73" s="117">
        <f t="shared" si="62"/>
        <v>20.211397156458229</v>
      </c>
      <c r="L73" s="117">
        <f t="shared" si="62"/>
        <v>18.110469521304193</v>
      </c>
      <c r="M73" s="117">
        <f t="shared" si="62"/>
        <v>0</v>
      </c>
      <c r="N73" s="114"/>
      <c r="O73" s="87"/>
      <c r="T73" s="117">
        <f>SUM(T67:T72)</f>
        <v>16.126015088442063</v>
      </c>
      <c r="U73" s="117">
        <f>SUM(U67:U72)</f>
        <v>14.801037759960938</v>
      </c>
      <c r="V73" s="116"/>
      <c r="Z73" s="32"/>
      <c r="AA73" s="61">
        <f t="shared" si="6"/>
        <v>61</v>
      </c>
      <c r="AB73" s="113"/>
      <c r="AC73" s="92" t="s">
        <v>122</v>
      </c>
      <c r="AG73" s="56"/>
      <c r="AH73" s="117">
        <f t="shared" ref="AH73:AM73" si="63">SUM(AH67:AH72)</f>
        <v>0</v>
      </c>
      <c r="AI73" s="117">
        <f t="shared" si="63"/>
        <v>0</v>
      </c>
      <c r="AJ73" s="117">
        <f t="shared" si="63"/>
        <v>0</v>
      </c>
      <c r="AK73" s="117">
        <f t="shared" si="63"/>
        <v>20.085905967311405</v>
      </c>
      <c r="AL73" s="117">
        <f t="shared" si="63"/>
        <v>17.997493125279547</v>
      </c>
      <c r="AM73" s="117">
        <f t="shared" si="63"/>
        <v>0</v>
      </c>
      <c r="AN73" s="114"/>
      <c r="AO73" s="87"/>
      <c r="AT73" s="117">
        <f>SUM(AT67:AT72)</f>
        <v>16.097666533315056</v>
      </c>
      <c r="AU73" s="117">
        <f>SUM(AU67:AU72)</f>
        <v>14.708313430316988</v>
      </c>
      <c r="AZ73" s="32"/>
      <c r="BA73" s="61">
        <f t="shared" si="8"/>
        <v>61</v>
      </c>
      <c r="BB73" s="113"/>
      <c r="BC73" s="92" t="s">
        <v>122</v>
      </c>
      <c r="BG73" s="56"/>
      <c r="BH73" s="117">
        <f t="shared" ref="BH73:BM73" si="64">SUM(BH67:BH72)</f>
        <v>0</v>
      </c>
      <c r="BI73" s="117">
        <f t="shared" si="64"/>
        <v>0</v>
      </c>
      <c r="BJ73" s="117">
        <f t="shared" si="64"/>
        <v>0</v>
      </c>
      <c r="BK73" s="117">
        <f t="shared" si="64"/>
        <v>19.392622966496109</v>
      </c>
      <c r="BL73" s="117">
        <f t="shared" si="64"/>
        <v>17.457803922290548</v>
      </c>
      <c r="BM73" s="117">
        <f t="shared" si="64"/>
        <v>0</v>
      </c>
      <c r="BN73" s="114"/>
      <c r="BO73" s="87"/>
      <c r="BT73" s="117">
        <f>SUM(BT67:BT72)</f>
        <v>15.498337672535445</v>
      </c>
      <c r="BU73" s="117">
        <f>SUM(BU67:BU72)</f>
        <v>14.196088909246315</v>
      </c>
    </row>
    <row r="74" spans="1:73" x14ac:dyDescent="0.3">
      <c r="A74" s="61"/>
      <c r="B74" s="113"/>
      <c r="C74" s="92"/>
      <c r="G74" s="112"/>
      <c r="H74" s="112"/>
      <c r="I74" s="112"/>
      <c r="J74" s="112"/>
      <c r="K74" s="112"/>
      <c r="L74" s="112"/>
      <c r="M74" s="112"/>
      <c r="N74" s="114"/>
      <c r="O74" s="87"/>
      <c r="T74" s="116"/>
      <c r="U74" s="116"/>
      <c r="V74" s="116"/>
      <c r="Z74" s="32"/>
      <c r="AA74" s="61"/>
      <c r="AB74" s="113"/>
      <c r="AC74" s="92"/>
      <c r="AG74" s="112"/>
      <c r="AH74" s="112"/>
      <c r="AI74" s="112"/>
      <c r="AJ74" s="112"/>
      <c r="AK74" s="112"/>
      <c r="AL74" s="112"/>
      <c r="AM74" s="112"/>
      <c r="AN74" s="114"/>
      <c r="AO74" s="87"/>
      <c r="AT74" s="116"/>
      <c r="AU74" s="116"/>
      <c r="AZ74" s="32"/>
      <c r="BA74" s="61"/>
      <c r="BB74" s="113"/>
      <c r="BC74" s="92"/>
      <c r="BG74" s="112"/>
      <c r="BH74" s="112"/>
      <c r="BI74" s="112"/>
      <c r="BJ74" s="112"/>
      <c r="BK74" s="112"/>
      <c r="BL74" s="112"/>
      <c r="BM74" s="112"/>
      <c r="BN74" s="114"/>
      <c r="BO74" s="87"/>
      <c r="BT74" s="116"/>
      <c r="BU74" s="116"/>
    </row>
    <row r="75" spans="1:73" x14ac:dyDescent="0.3">
      <c r="A75" s="121" t="s">
        <v>30</v>
      </c>
      <c r="B75" s="24"/>
      <c r="C75" s="25"/>
      <c r="D75" s="26"/>
      <c r="E75" s="26"/>
      <c r="F75" s="26"/>
      <c r="G75" s="26"/>
      <c r="H75" s="26"/>
      <c r="I75" s="26"/>
      <c r="J75" s="26"/>
      <c r="K75" s="26"/>
      <c r="L75" s="26"/>
      <c r="M75" s="23" t="s">
        <v>31</v>
      </c>
      <c r="N75" s="24"/>
      <c r="O75" s="25"/>
      <c r="P75" s="25"/>
      <c r="T75" s="26"/>
      <c r="U75" s="26"/>
      <c r="V75" s="122"/>
      <c r="Z75" s="32"/>
      <c r="AA75" s="121" t="s">
        <v>30</v>
      </c>
      <c r="AB75" s="24"/>
      <c r="AC75" s="25"/>
      <c r="AD75" s="26"/>
      <c r="AE75" s="26"/>
      <c r="AF75" s="26"/>
      <c r="AG75" s="26"/>
      <c r="AH75" s="26"/>
      <c r="AI75" s="26"/>
      <c r="AJ75" s="26"/>
      <c r="AK75" s="26"/>
      <c r="AL75" s="26"/>
      <c r="AM75" s="23" t="s">
        <v>31</v>
      </c>
      <c r="AN75" s="24"/>
      <c r="AO75" s="25"/>
      <c r="AT75" s="26"/>
      <c r="AU75" s="26"/>
      <c r="AZ75" s="32"/>
      <c r="BA75" s="121" t="s">
        <v>30</v>
      </c>
      <c r="BB75" s="24"/>
      <c r="BC75" s="25"/>
      <c r="BD75" s="26"/>
      <c r="BE75" s="26"/>
      <c r="BF75" s="26"/>
      <c r="BG75" s="26"/>
      <c r="BH75" s="26"/>
      <c r="BI75" s="26"/>
      <c r="BJ75" s="26"/>
      <c r="BK75" s="26"/>
      <c r="BL75" s="26"/>
      <c r="BM75" s="23" t="s">
        <v>31</v>
      </c>
      <c r="BN75" s="24"/>
      <c r="BO75" s="25"/>
      <c r="BP75" s="25"/>
      <c r="BT75" s="26"/>
      <c r="BU75" s="26"/>
    </row>
    <row r="76" spans="1:73" x14ac:dyDescent="0.3">
      <c r="A76" s="123"/>
      <c r="B76" s="87"/>
      <c r="C76" s="87"/>
      <c r="G76" s="87"/>
      <c r="H76" s="87"/>
      <c r="I76" s="87"/>
      <c r="J76" s="87"/>
      <c r="K76" s="87"/>
      <c r="L76" s="87"/>
      <c r="M76" s="87"/>
      <c r="N76" s="87"/>
      <c r="O76" s="87"/>
      <c r="T76" s="87"/>
      <c r="U76" s="87"/>
      <c r="V76" s="87"/>
      <c r="Z76" s="32"/>
      <c r="AA76" s="123"/>
      <c r="AB76" s="87"/>
      <c r="AC76" s="87"/>
      <c r="AG76" s="87"/>
      <c r="AH76" s="87"/>
      <c r="AI76" s="87"/>
      <c r="AJ76" s="87"/>
      <c r="AK76" s="87"/>
      <c r="AL76" s="87"/>
      <c r="AM76" s="87"/>
      <c r="AN76" s="87"/>
      <c r="AO76" s="87"/>
      <c r="AT76" s="87"/>
      <c r="AU76" s="87"/>
      <c r="AZ76" s="32"/>
      <c r="BA76" s="123"/>
      <c r="BB76" s="87"/>
      <c r="BC76" s="87"/>
      <c r="BG76" s="87"/>
      <c r="BH76" s="87"/>
      <c r="BI76" s="87"/>
      <c r="BJ76" s="87"/>
      <c r="BK76" s="87"/>
      <c r="BL76" s="87"/>
      <c r="BM76" s="87"/>
      <c r="BN76" s="87"/>
      <c r="BO76" s="87"/>
      <c r="BT76" s="87"/>
      <c r="BU76" s="87"/>
    </row>
    <row r="77" spans="1:73" ht="5.25" customHeight="1" x14ac:dyDescent="0.3">
      <c r="A77" s="123"/>
      <c r="B77" s="87"/>
      <c r="C77" s="87"/>
      <c r="G77" s="87"/>
      <c r="H77" s="87"/>
      <c r="I77" s="87"/>
      <c r="J77" s="87"/>
      <c r="K77" s="87"/>
      <c r="L77" s="87"/>
      <c r="M77" s="87"/>
      <c r="N77" s="87"/>
      <c r="O77" s="87"/>
      <c r="T77" s="87"/>
      <c r="U77" s="87"/>
      <c r="V77" s="87"/>
      <c r="Z77" s="32"/>
      <c r="AA77" s="123"/>
      <c r="AB77" s="87"/>
      <c r="AC77" s="87"/>
      <c r="AG77" s="87"/>
      <c r="AH77" s="87"/>
      <c r="AI77" s="87"/>
      <c r="AJ77" s="87"/>
      <c r="AK77" s="87"/>
      <c r="AL77" s="87"/>
      <c r="AM77" s="87"/>
      <c r="AN77" s="87"/>
      <c r="AO77" s="87"/>
      <c r="AT77" s="87"/>
      <c r="AU77" s="87"/>
      <c r="AZ77" s="32"/>
      <c r="BA77" s="123"/>
      <c r="BB77" s="87"/>
      <c r="BC77" s="87"/>
      <c r="BG77" s="87"/>
      <c r="BH77" s="87"/>
      <c r="BI77" s="87"/>
      <c r="BJ77" s="87"/>
      <c r="BK77" s="87"/>
      <c r="BL77" s="87"/>
      <c r="BM77" s="87"/>
      <c r="BN77" s="87"/>
      <c r="BO77" s="87"/>
      <c r="BT77" s="87"/>
      <c r="BU77" s="87"/>
    </row>
    <row r="78" spans="1:73" ht="5.25" customHeight="1" x14ac:dyDescent="0.3">
      <c r="A78" s="42"/>
      <c r="B78" s="40"/>
      <c r="C78" s="40"/>
      <c r="G78" s="124"/>
      <c r="H78" s="124"/>
      <c r="I78" s="124"/>
      <c r="J78" s="124"/>
      <c r="K78" s="124"/>
      <c r="L78" s="124"/>
      <c r="M78" s="124"/>
      <c r="N78" s="87"/>
      <c r="O78" s="87"/>
      <c r="T78" s="124"/>
      <c r="U78" s="124"/>
      <c r="V78" s="124"/>
      <c r="Z78" s="32"/>
      <c r="AA78" s="42"/>
      <c r="AB78" s="40"/>
      <c r="AC78" s="40"/>
      <c r="AG78" s="124"/>
      <c r="AH78" s="124"/>
      <c r="AI78" s="124"/>
      <c r="AJ78" s="124"/>
      <c r="AK78" s="124"/>
      <c r="AL78" s="124"/>
      <c r="AM78" s="124"/>
      <c r="AN78" s="87"/>
      <c r="AO78" s="87"/>
      <c r="AT78" s="124"/>
      <c r="AU78" s="124"/>
      <c r="AZ78" s="32"/>
      <c r="BA78" s="42"/>
      <c r="BB78" s="40"/>
      <c r="BC78" s="40"/>
      <c r="BG78" s="124"/>
      <c r="BH78" s="124"/>
      <c r="BI78" s="124"/>
      <c r="BJ78" s="124"/>
      <c r="BK78" s="124"/>
      <c r="BL78" s="124"/>
      <c r="BM78" s="124"/>
      <c r="BN78" s="87"/>
      <c r="BO78" s="87"/>
      <c r="BT78" s="124"/>
      <c r="BU78" s="124"/>
    </row>
    <row r="79" spans="1:73" ht="5.25" customHeight="1" x14ac:dyDescent="0.3">
      <c r="A79" s="39"/>
      <c r="B79" s="40"/>
      <c r="C79" s="40"/>
      <c r="G79" s="40"/>
      <c r="H79" s="40"/>
      <c r="I79" s="40"/>
      <c r="J79" s="40"/>
      <c r="K79" s="40"/>
      <c r="L79" s="40"/>
      <c r="M79" s="40"/>
      <c r="N79" s="87"/>
      <c r="O79" s="87"/>
      <c r="T79" s="40"/>
      <c r="U79" s="40"/>
      <c r="V79" s="40"/>
      <c r="Z79" s="32"/>
      <c r="AA79" s="39"/>
      <c r="AB79" s="40"/>
      <c r="AC79" s="40"/>
      <c r="AG79" s="40"/>
      <c r="AH79" s="40"/>
      <c r="AI79" s="40"/>
      <c r="AJ79" s="40"/>
      <c r="AK79" s="40"/>
      <c r="AL79" s="40"/>
      <c r="AM79" s="40"/>
      <c r="AN79" s="87"/>
      <c r="AO79" s="87"/>
      <c r="AT79" s="40"/>
      <c r="AU79" s="40"/>
      <c r="AZ79" s="32"/>
      <c r="BA79" s="39"/>
      <c r="BB79" s="40"/>
      <c r="BC79" s="40"/>
      <c r="BG79" s="40"/>
      <c r="BH79" s="40"/>
      <c r="BI79" s="40"/>
      <c r="BJ79" s="40"/>
      <c r="BK79" s="40"/>
      <c r="BL79" s="40"/>
      <c r="BM79" s="40"/>
      <c r="BN79" s="87"/>
      <c r="BO79" s="87"/>
      <c r="BT79" s="40"/>
      <c r="BU79" s="40"/>
    </row>
    <row r="80" spans="1:73" x14ac:dyDescent="0.3">
      <c r="A80" s="39"/>
      <c r="B80" s="40"/>
      <c r="C80" s="40"/>
      <c r="G80" s="40"/>
      <c r="H80" s="125" t="s">
        <v>80</v>
      </c>
      <c r="I80" s="126"/>
      <c r="J80" s="126"/>
      <c r="K80" s="126"/>
      <c r="L80" s="126"/>
      <c r="M80" s="127"/>
      <c r="N80" s="87"/>
      <c r="O80" s="87"/>
      <c r="T80" s="126"/>
      <c r="U80" s="126"/>
      <c r="V80" s="128"/>
      <c r="Z80" s="32"/>
      <c r="AA80" s="39"/>
      <c r="AB80" s="40"/>
      <c r="AC80" s="40"/>
      <c r="AG80" s="40"/>
      <c r="AH80" s="125"/>
      <c r="AI80" s="126"/>
      <c r="AJ80" s="126"/>
      <c r="AK80" s="126"/>
      <c r="AL80" s="126"/>
      <c r="AM80" s="127"/>
      <c r="AN80" s="87"/>
      <c r="AO80" s="87"/>
      <c r="AT80" s="116"/>
      <c r="AU80" s="116"/>
      <c r="AZ80" s="32"/>
      <c r="BA80" s="39"/>
      <c r="BB80" s="40"/>
      <c r="BC80" s="40"/>
      <c r="BG80" s="40"/>
      <c r="BH80" s="125" t="s">
        <v>80</v>
      </c>
      <c r="BI80" s="126"/>
      <c r="BJ80" s="126"/>
      <c r="BK80" s="126"/>
      <c r="BL80" s="126"/>
      <c r="BM80" s="127"/>
      <c r="BN80" s="87"/>
      <c r="BO80" s="87"/>
      <c r="BT80" s="126"/>
      <c r="BU80" s="126"/>
    </row>
    <row r="81" spans="1:73" x14ac:dyDescent="0.3">
      <c r="A81" s="39"/>
      <c r="B81" s="40"/>
      <c r="C81" s="40"/>
      <c r="G81" s="40"/>
      <c r="H81" s="93" t="s">
        <v>123</v>
      </c>
      <c r="I81" s="129" t="s">
        <v>124</v>
      </c>
      <c r="J81" s="129" t="s">
        <v>125</v>
      </c>
      <c r="K81" s="129" t="s">
        <v>126</v>
      </c>
      <c r="L81" s="129" t="s">
        <v>127</v>
      </c>
      <c r="M81" s="130" t="s">
        <v>128</v>
      </c>
      <c r="N81" s="87"/>
      <c r="O81" s="87"/>
      <c r="T81" s="129" t="s">
        <v>129</v>
      </c>
      <c r="U81" s="129" t="s">
        <v>127</v>
      </c>
      <c r="V81" s="128"/>
      <c r="Z81" s="32"/>
      <c r="AA81" s="39"/>
      <c r="AB81" s="40"/>
      <c r="AC81" s="40"/>
      <c r="AG81" s="40"/>
      <c r="AH81" s="93" t="s">
        <v>123</v>
      </c>
      <c r="AI81" s="129" t="s">
        <v>124</v>
      </c>
      <c r="AJ81" s="129" t="s">
        <v>125</v>
      </c>
      <c r="AK81" s="129" t="s">
        <v>126</v>
      </c>
      <c r="AL81" s="129" t="s">
        <v>127</v>
      </c>
      <c r="AM81" s="130" t="s">
        <v>128</v>
      </c>
      <c r="AN81" s="87"/>
      <c r="AO81" s="87"/>
      <c r="AT81" s="129" t="s">
        <v>129</v>
      </c>
      <c r="AU81" s="129" t="s">
        <v>127</v>
      </c>
      <c r="AZ81" s="32"/>
      <c r="BA81" s="39"/>
      <c r="BB81" s="40"/>
      <c r="BC81" s="40"/>
      <c r="BG81" s="40"/>
      <c r="BH81" s="93" t="s">
        <v>123</v>
      </c>
      <c r="BI81" s="129" t="s">
        <v>124</v>
      </c>
      <c r="BJ81" s="129" t="s">
        <v>125</v>
      </c>
      <c r="BK81" s="129" t="s">
        <v>126</v>
      </c>
      <c r="BL81" s="129" t="s">
        <v>127</v>
      </c>
      <c r="BM81" s="130" t="s">
        <v>128</v>
      </c>
      <c r="BN81" s="87"/>
      <c r="BO81" s="87"/>
      <c r="BT81" s="129" t="s">
        <v>129</v>
      </c>
      <c r="BU81" s="129" t="s">
        <v>127</v>
      </c>
    </row>
    <row r="82" spans="1:73" x14ac:dyDescent="0.3">
      <c r="A82" s="39"/>
      <c r="B82" s="40"/>
      <c r="C82" s="40"/>
      <c r="G82" s="40"/>
      <c r="H82" s="95" t="s">
        <v>93</v>
      </c>
      <c r="I82" s="128" t="s">
        <v>93</v>
      </c>
      <c r="J82" s="128" t="s">
        <v>93</v>
      </c>
      <c r="K82" s="128" t="s">
        <v>130</v>
      </c>
      <c r="L82" s="128" t="s">
        <v>129</v>
      </c>
      <c r="M82" s="131" t="s">
        <v>93</v>
      </c>
      <c r="N82" s="87"/>
      <c r="O82" s="87"/>
      <c r="T82" s="128" t="s">
        <v>131</v>
      </c>
      <c r="U82" s="128" t="s">
        <v>132</v>
      </c>
      <c r="V82" s="128"/>
      <c r="Z82" s="32"/>
      <c r="AA82" s="39"/>
      <c r="AB82" s="40"/>
      <c r="AC82" s="40"/>
      <c r="AG82" s="40"/>
      <c r="AH82" s="95" t="s">
        <v>93</v>
      </c>
      <c r="AI82" s="128" t="s">
        <v>93</v>
      </c>
      <c r="AJ82" s="128" t="s">
        <v>93</v>
      </c>
      <c r="AK82" s="128" t="s">
        <v>130</v>
      </c>
      <c r="AL82" s="128" t="s">
        <v>129</v>
      </c>
      <c r="AM82" s="131" t="s">
        <v>93</v>
      </c>
      <c r="AN82" s="87"/>
      <c r="AO82" s="87"/>
      <c r="AT82" s="128" t="s">
        <v>131</v>
      </c>
      <c r="AU82" s="128" t="s">
        <v>132</v>
      </c>
      <c r="AZ82" s="32"/>
      <c r="BA82" s="39"/>
      <c r="BB82" s="40"/>
      <c r="BC82" s="40"/>
      <c r="BG82" s="40"/>
      <c r="BH82" s="95" t="s">
        <v>93</v>
      </c>
      <c r="BI82" s="128" t="s">
        <v>93</v>
      </c>
      <c r="BJ82" s="128" t="s">
        <v>93</v>
      </c>
      <c r="BK82" s="128" t="s">
        <v>130</v>
      </c>
      <c r="BL82" s="128" t="s">
        <v>129</v>
      </c>
      <c r="BM82" s="131" t="s">
        <v>93</v>
      </c>
      <c r="BN82" s="87"/>
      <c r="BO82" s="87"/>
      <c r="BT82" s="128" t="s">
        <v>131</v>
      </c>
      <c r="BU82" s="128" t="s">
        <v>132</v>
      </c>
    </row>
    <row r="83" spans="1:73" x14ac:dyDescent="0.3">
      <c r="A83" s="123"/>
      <c r="B83" s="87"/>
      <c r="C83" s="87"/>
      <c r="G83" s="87"/>
      <c r="H83" s="95" t="s">
        <v>93</v>
      </c>
      <c r="I83" s="128" t="s">
        <v>93</v>
      </c>
      <c r="J83" s="128" t="s">
        <v>93</v>
      </c>
      <c r="K83" s="128" t="s">
        <v>93</v>
      </c>
      <c r="L83" s="128" t="s">
        <v>132</v>
      </c>
      <c r="M83" s="131" t="s">
        <v>93</v>
      </c>
      <c r="N83" s="87"/>
      <c r="O83" s="87"/>
      <c r="T83" s="128" t="s">
        <v>93</v>
      </c>
      <c r="U83" s="128" t="s">
        <v>93</v>
      </c>
      <c r="V83" s="128"/>
      <c r="Z83" s="32"/>
      <c r="AA83" s="123"/>
      <c r="AB83" s="87"/>
      <c r="AC83" s="87"/>
      <c r="AG83" s="87"/>
      <c r="AH83" s="95" t="s">
        <v>93</v>
      </c>
      <c r="AI83" s="128" t="s">
        <v>93</v>
      </c>
      <c r="AJ83" s="128" t="s">
        <v>93</v>
      </c>
      <c r="AK83" s="128" t="s">
        <v>93</v>
      </c>
      <c r="AL83" s="128" t="s">
        <v>132</v>
      </c>
      <c r="AM83" s="131" t="s">
        <v>93</v>
      </c>
      <c r="AN83" s="87"/>
      <c r="AO83" s="87"/>
      <c r="AT83" s="128" t="s">
        <v>93</v>
      </c>
      <c r="AU83" s="128" t="s">
        <v>93</v>
      </c>
      <c r="AZ83" s="32"/>
      <c r="BA83" s="123"/>
      <c r="BB83" s="87"/>
      <c r="BC83" s="87"/>
      <c r="BG83" s="87"/>
      <c r="BH83" s="95" t="s">
        <v>93</v>
      </c>
      <c r="BI83" s="128" t="s">
        <v>93</v>
      </c>
      <c r="BJ83" s="128" t="s">
        <v>93</v>
      </c>
      <c r="BK83" s="128" t="s">
        <v>93</v>
      </c>
      <c r="BL83" s="128" t="s">
        <v>132</v>
      </c>
      <c r="BM83" s="131" t="s">
        <v>93</v>
      </c>
      <c r="BN83" s="87"/>
      <c r="BO83" s="87"/>
      <c r="BT83" s="128" t="s">
        <v>93</v>
      </c>
      <c r="BU83" s="128" t="s">
        <v>93</v>
      </c>
    </row>
    <row r="84" spans="1:73" x14ac:dyDescent="0.3">
      <c r="A84" s="123"/>
      <c r="B84" s="87"/>
      <c r="C84" s="87"/>
      <c r="G84" s="87"/>
      <c r="H84" s="132" t="s">
        <v>93</v>
      </c>
      <c r="I84" s="133" t="s">
        <v>93</v>
      </c>
      <c r="J84" s="133" t="s">
        <v>93</v>
      </c>
      <c r="K84" s="133" t="s">
        <v>93</v>
      </c>
      <c r="L84" s="133" t="s">
        <v>131</v>
      </c>
      <c r="M84" s="134" t="s">
        <v>93</v>
      </c>
      <c r="N84" s="87"/>
      <c r="O84" s="87"/>
      <c r="T84" s="133" t="s">
        <v>93</v>
      </c>
      <c r="U84" s="133" t="s">
        <v>93</v>
      </c>
      <c r="V84" s="128"/>
      <c r="Z84" s="32"/>
      <c r="AA84" s="123"/>
      <c r="AB84" s="87"/>
      <c r="AC84" s="87"/>
      <c r="AG84" s="87"/>
      <c r="AH84" s="132" t="s">
        <v>93</v>
      </c>
      <c r="AI84" s="133" t="s">
        <v>93</v>
      </c>
      <c r="AJ84" s="133" t="s">
        <v>93</v>
      </c>
      <c r="AK84" s="133" t="s">
        <v>93</v>
      </c>
      <c r="AL84" s="133" t="s">
        <v>131</v>
      </c>
      <c r="AM84" s="134" t="s">
        <v>93</v>
      </c>
      <c r="AN84" s="87"/>
      <c r="AO84" s="87"/>
      <c r="AT84" s="133" t="s">
        <v>93</v>
      </c>
      <c r="AU84" s="133" t="s">
        <v>93</v>
      </c>
      <c r="AZ84" s="32"/>
      <c r="BA84" s="123"/>
      <c r="BB84" s="87"/>
      <c r="BC84" s="87"/>
      <c r="BG84" s="87"/>
      <c r="BH84" s="132" t="s">
        <v>93</v>
      </c>
      <c r="BI84" s="133" t="s">
        <v>93</v>
      </c>
      <c r="BJ84" s="133" t="s">
        <v>93</v>
      </c>
      <c r="BK84" s="133" t="s">
        <v>93</v>
      </c>
      <c r="BL84" s="133" t="s">
        <v>131</v>
      </c>
      <c r="BM84" s="134" t="s">
        <v>93</v>
      </c>
      <c r="BN84" s="87"/>
      <c r="BO84" s="87"/>
      <c r="BT84" s="133" t="s">
        <v>93</v>
      </c>
      <c r="BU84" s="133" t="s">
        <v>93</v>
      </c>
    </row>
    <row r="85" spans="1:73" x14ac:dyDescent="0.3">
      <c r="A85" s="123"/>
      <c r="B85" s="87"/>
      <c r="Z85" s="32"/>
      <c r="AA85" s="123"/>
      <c r="AB85" s="87"/>
      <c r="AZ85" s="32"/>
      <c r="BA85" s="123"/>
      <c r="BB85" s="87"/>
    </row>
    <row r="86" spans="1:73" x14ac:dyDescent="0.3">
      <c r="C86" s="136" t="s">
        <v>133</v>
      </c>
      <c r="D86" s="136"/>
      <c r="E86" s="136"/>
      <c r="F86" s="136"/>
      <c r="G86" s="136"/>
      <c r="H86" s="137"/>
      <c r="I86" s="136"/>
      <c r="J86" s="136"/>
      <c r="K86" s="136"/>
      <c r="L86" s="136"/>
      <c r="M86" s="136"/>
      <c r="N86" s="138"/>
      <c r="T86" s="136"/>
      <c r="U86" s="136"/>
      <c r="V86" s="136"/>
      <c r="Z86" s="32"/>
      <c r="AC86" s="136" t="s">
        <v>133</v>
      </c>
      <c r="AD86" s="136"/>
      <c r="AE86" s="136"/>
      <c r="AF86" s="136"/>
      <c r="AG86" s="136"/>
      <c r="AH86" s="137"/>
      <c r="AI86" s="136"/>
      <c r="AJ86" s="136"/>
      <c r="AK86" s="136"/>
      <c r="AL86" s="136"/>
      <c r="AM86" s="136"/>
      <c r="AN86" s="138"/>
      <c r="AT86" s="136"/>
      <c r="AU86" s="136"/>
      <c r="AZ86" s="32"/>
      <c r="BC86" s="136" t="s">
        <v>133</v>
      </c>
      <c r="BD86" s="136"/>
      <c r="BE86" s="136"/>
      <c r="BF86" s="136"/>
      <c r="BG86" s="136"/>
      <c r="BH86" s="137"/>
      <c r="BI86" s="136"/>
      <c r="BJ86" s="136"/>
      <c r="BK86" s="136"/>
      <c r="BL86" s="136"/>
      <c r="BM86" s="136"/>
      <c r="BN86" s="138"/>
      <c r="BT86" s="136"/>
      <c r="BU86" s="136"/>
    </row>
    <row r="87" spans="1:73" x14ac:dyDescent="0.3">
      <c r="C87" s="139" t="s">
        <v>94</v>
      </c>
      <c r="D87" s="136"/>
      <c r="E87" s="136"/>
      <c r="F87" s="136"/>
      <c r="G87" s="138"/>
      <c r="H87" s="137">
        <f>H14/G14-H45</f>
        <v>0</v>
      </c>
      <c r="I87" s="137">
        <f>I14/G14-I45</f>
        <v>0</v>
      </c>
      <c r="J87" s="137">
        <f>J14/G14-J45</f>
        <v>0</v>
      </c>
      <c r="K87" s="137">
        <f>K14/G14-K45</f>
        <v>0</v>
      </c>
      <c r="L87" s="137">
        <f>L14/G14-L45</f>
        <v>0</v>
      </c>
      <c r="M87" s="137">
        <f>M14/G14-M45</f>
        <v>0</v>
      </c>
      <c r="N87" s="137">
        <f>N14/G14-N45</f>
        <v>0</v>
      </c>
      <c r="T87" s="137">
        <f>T14/G14-T45</f>
        <v>0</v>
      </c>
      <c r="U87" s="137">
        <f>U14/G14-U45</f>
        <v>0</v>
      </c>
      <c r="V87" s="137"/>
      <c r="Z87" s="32"/>
      <c r="AC87" s="139" t="s">
        <v>94</v>
      </c>
      <c r="AD87" s="136"/>
      <c r="AE87" s="136"/>
      <c r="AF87" s="136"/>
      <c r="AG87" s="138"/>
      <c r="AH87" s="137">
        <f>AH14/AG14-AH45</f>
        <v>0</v>
      </c>
      <c r="AI87" s="137">
        <f>AI14/AG14-AI45</f>
        <v>0</v>
      </c>
      <c r="AJ87" s="137">
        <f>AJ14/AG14-AJ45</f>
        <v>0</v>
      </c>
      <c r="AK87" s="137">
        <f>AK14/AG14-AK45</f>
        <v>0</v>
      </c>
      <c r="AL87" s="137">
        <f>AL14/AG14-AL45</f>
        <v>0</v>
      </c>
      <c r="AM87" s="137">
        <f>AM14/AG14-AM45</f>
        <v>0</v>
      </c>
      <c r="AN87" s="137">
        <f>AN14/AG14-AN45</f>
        <v>0</v>
      </c>
      <c r="AT87" s="137">
        <f>AT14/AG14-AT45</f>
        <v>0</v>
      </c>
      <c r="AU87" s="137">
        <f>AU14/AG14-AU45</f>
        <v>0</v>
      </c>
      <c r="AZ87" s="32"/>
      <c r="BC87" s="139" t="s">
        <v>94</v>
      </c>
      <c r="BD87" s="136"/>
      <c r="BE87" s="136"/>
      <c r="BF87" s="136"/>
      <c r="BG87" s="138"/>
      <c r="BH87" s="137">
        <f>BH14/BG14-BH45</f>
        <v>0</v>
      </c>
      <c r="BI87" s="137">
        <f>BI14/BG14-BI45</f>
        <v>0</v>
      </c>
      <c r="BJ87" s="137">
        <f>BJ14/BG14-BJ45</f>
        <v>0</v>
      </c>
      <c r="BK87" s="137">
        <f>BK14/BG14-BK45</f>
        <v>0</v>
      </c>
      <c r="BL87" s="137">
        <f>BL14/BG14-BL45</f>
        <v>0</v>
      </c>
      <c r="BM87" s="137">
        <f>BM14/BG14-BM45</f>
        <v>0</v>
      </c>
      <c r="BN87" s="137">
        <f>BN14/BG14-BN45</f>
        <v>0</v>
      </c>
      <c r="BT87" s="137">
        <f>BT14/BG14-BT45</f>
        <v>0</v>
      </c>
      <c r="BU87" s="137">
        <f>BU14/BG14-BU45</f>
        <v>0</v>
      </c>
    </row>
    <row r="88" spans="1:73" x14ac:dyDescent="0.3">
      <c r="C88" s="139" t="s">
        <v>134</v>
      </c>
      <c r="D88" s="136"/>
      <c r="E88" s="136"/>
      <c r="F88" s="136"/>
      <c r="G88" s="138"/>
      <c r="H88" s="137">
        <f>H15/$G$15-H46</f>
        <v>0</v>
      </c>
      <c r="I88" s="137">
        <f t="shared" ref="I88:N88" si="65">I15/$G$15-I46</f>
        <v>0</v>
      </c>
      <c r="J88" s="137">
        <f t="shared" si="65"/>
        <v>0</v>
      </c>
      <c r="K88" s="137">
        <f t="shared" si="65"/>
        <v>0</v>
      </c>
      <c r="L88" s="137">
        <f t="shared" si="65"/>
        <v>0</v>
      </c>
      <c r="M88" s="137">
        <f t="shared" si="65"/>
        <v>0</v>
      </c>
      <c r="N88" s="137">
        <f t="shared" si="65"/>
        <v>0</v>
      </c>
      <c r="T88" s="137">
        <f>T15/$G$15-T46</f>
        <v>0</v>
      </c>
      <c r="U88" s="137">
        <f>U15/G15-U46</f>
        <v>0</v>
      </c>
      <c r="V88" s="137"/>
      <c r="Z88" s="32"/>
      <c r="AC88" s="139" t="s">
        <v>134</v>
      </c>
      <c r="AD88" s="136"/>
      <c r="AE88" s="136"/>
      <c r="AF88" s="136"/>
      <c r="AG88" s="138"/>
      <c r="AH88" s="137">
        <f t="shared" ref="AH88:AN88" si="66">AH15/$AG$15-AH46</f>
        <v>0</v>
      </c>
      <c r="AI88" s="137">
        <f t="shared" si="66"/>
        <v>0</v>
      </c>
      <c r="AJ88" s="137">
        <f t="shared" si="66"/>
        <v>0</v>
      </c>
      <c r="AK88" s="137">
        <f t="shared" si="66"/>
        <v>0</v>
      </c>
      <c r="AL88" s="137">
        <f t="shared" si="66"/>
        <v>0</v>
      </c>
      <c r="AM88" s="137">
        <f t="shared" si="66"/>
        <v>0</v>
      </c>
      <c r="AN88" s="137">
        <f t="shared" si="66"/>
        <v>0</v>
      </c>
      <c r="AT88" s="137">
        <f>AT15/$AG$15-AT46</f>
        <v>0</v>
      </c>
      <c r="AU88" s="137">
        <f>AU15/AG15-AU46</f>
        <v>0</v>
      </c>
      <c r="AZ88" s="32"/>
      <c r="BC88" s="139" t="s">
        <v>134</v>
      </c>
      <c r="BD88" s="136"/>
      <c r="BE88" s="136"/>
      <c r="BF88" s="136"/>
      <c r="BG88" s="138"/>
      <c r="BH88" s="137">
        <f t="shared" ref="BH88:BN88" si="67">BH15/$BG$15-BH46</f>
        <v>0</v>
      </c>
      <c r="BI88" s="137">
        <f t="shared" si="67"/>
        <v>0</v>
      </c>
      <c r="BJ88" s="137">
        <f t="shared" si="67"/>
        <v>0</v>
      </c>
      <c r="BK88" s="137">
        <f t="shared" si="67"/>
        <v>0</v>
      </c>
      <c r="BL88" s="137">
        <f t="shared" si="67"/>
        <v>0</v>
      </c>
      <c r="BM88" s="137">
        <f t="shared" si="67"/>
        <v>0</v>
      </c>
      <c r="BN88" s="137">
        <f t="shared" si="67"/>
        <v>0</v>
      </c>
      <c r="BT88" s="137">
        <f>BT15/$BG$15-BT46</f>
        <v>0</v>
      </c>
      <c r="BU88" s="137">
        <f>BU15/BG15-BU46</f>
        <v>0</v>
      </c>
    </row>
    <row r="89" spans="1:73" x14ac:dyDescent="0.3">
      <c r="C89" s="139" t="s">
        <v>135</v>
      </c>
      <c r="D89" s="136"/>
      <c r="E89" s="136"/>
      <c r="F89" s="136"/>
      <c r="G89" s="138"/>
      <c r="H89" s="137">
        <f>H16/G16-H47</f>
        <v>0</v>
      </c>
      <c r="I89" s="137">
        <f>I16/G16-I47</f>
        <v>0</v>
      </c>
      <c r="J89" s="137">
        <f>J16/G16-J47</f>
        <v>0</v>
      </c>
      <c r="K89" s="137">
        <f>K16/G16-K47</f>
        <v>0</v>
      </c>
      <c r="L89" s="137">
        <f>L16/G16-L47</f>
        <v>0</v>
      </c>
      <c r="M89" s="137">
        <f>M16/G16-M47</f>
        <v>0</v>
      </c>
      <c r="N89" s="137">
        <f>N16/G16-N47</f>
        <v>0</v>
      </c>
      <c r="T89" s="137">
        <f>T16/G16-T47</f>
        <v>0</v>
      </c>
      <c r="U89" s="137">
        <f>U16/G16-U47</f>
        <v>0</v>
      </c>
      <c r="V89" s="137"/>
      <c r="Z89" s="32"/>
      <c r="AC89" s="139" t="s">
        <v>135</v>
      </c>
      <c r="AD89" s="136"/>
      <c r="AE89" s="136"/>
      <c r="AF89" s="136"/>
      <c r="AG89" s="138"/>
      <c r="AH89" s="137">
        <f>AH16/AG16-AH47</f>
        <v>0</v>
      </c>
      <c r="AI89" s="137">
        <f>AI16/AG16-AI47</f>
        <v>0</v>
      </c>
      <c r="AJ89" s="137">
        <f>AJ16/AG16-AJ47</f>
        <v>0</v>
      </c>
      <c r="AK89" s="137">
        <f>AK16/AG16-AK47</f>
        <v>0</v>
      </c>
      <c r="AL89" s="137">
        <f>AL16/AG16-AL47</f>
        <v>0</v>
      </c>
      <c r="AM89" s="137">
        <f>AM16/AG16-AM47</f>
        <v>0</v>
      </c>
      <c r="AN89" s="137">
        <f>AN16/AG16-AN47</f>
        <v>0</v>
      </c>
      <c r="AT89" s="137">
        <f>AT16/AG16-AT47</f>
        <v>0</v>
      </c>
      <c r="AU89" s="137">
        <f>AU16/AG16-AU47</f>
        <v>0</v>
      </c>
      <c r="AZ89" s="32"/>
      <c r="BC89" s="139" t="s">
        <v>135</v>
      </c>
      <c r="BD89" s="136"/>
      <c r="BE89" s="136"/>
      <c r="BF89" s="136"/>
      <c r="BG89" s="138"/>
      <c r="BH89" s="137">
        <f>BH16/BG16-BH47</f>
        <v>0</v>
      </c>
      <c r="BI89" s="137">
        <f>BI16/BG16-BI47</f>
        <v>0</v>
      </c>
      <c r="BJ89" s="137">
        <f>BJ16/BG16-BJ47</f>
        <v>0</v>
      </c>
      <c r="BK89" s="137">
        <f>BK16/BG16-BK47</f>
        <v>0</v>
      </c>
      <c r="BL89" s="137">
        <f>BL16/BG16-BL47</f>
        <v>0</v>
      </c>
      <c r="BM89" s="137">
        <f>BM16/BG16-BM47</f>
        <v>0</v>
      </c>
      <c r="BN89" s="137">
        <f>BN16/BG16-BN47</f>
        <v>0</v>
      </c>
      <c r="BT89" s="137">
        <f>BT16/BG16-BT47</f>
        <v>0</v>
      </c>
      <c r="BU89" s="137">
        <f>BU16/BG16-BU47</f>
        <v>0</v>
      </c>
    </row>
    <row r="90" spans="1:73" x14ac:dyDescent="0.3">
      <c r="Z90" s="32"/>
      <c r="AZ90" s="32"/>
    </row>
    <row r="91" spans="1:73" x14ac:dyDescent="0.3">
      <c r="Z91" s="32"/>
      <c r="AZ91" s="32"/>
    </row>
    <row r="92" spans="1:73" x14ac:dyDescent="0.3">
      <c r="A92" s="140"/>
      <c r="Z92" s="32"/>
      <c r="AA92" s="140"/>
      <c r="AZ92" s="32"/>
      <c r="BA92" s="140"/>
    </row>
    <row r="93" spans="1:73" x14ac:dyDescent="0.3">
      <c r="A93" s="140"/>
      <c r="Z93" s="32"/>
      <c r="AA93" s="140"/>
      <c r="AZ93" s="32"/>
      <c r="BA93" s="140"/>
    </row>
    <row r="94" spans="1:73" x14ac:dyDescent="0.3">
      <c r="A94" s="140"/>
      <c r="Z94" s="32"/>
      <c r="AA94" s="140"/>
      <c r="AZ94" s="32"/>
      <c r="BA94" s="140"/>
    </row>
    <row r="95" spans="1:73" x14ac:dyDescent="0.3">
      <c r="A95" s="140"/>
      <c r="H95" s="141"/>
      <c r="Z95" s="32"/>
      <c r="AA95" s="140"/>
      <c r="AH95" s="141"/>
      <c r="AZ95" s="32"/>
      <c r="BA95" s="140"/>
      <c r="BH95" s="141"/>
    </row>
    <row r="96" spans="1:73" x14ac:dyDescent="0.3">
      <c r="A96" s="140"/>
      <c r="H96" s="141"/>
      <c r="Z96" s="32"/>
      <c r="AA96" s="140"/>
      <c r="AH96" s="141"/>
      <c r="AZ96" s="32"/>
      <c r="BA96" s="140"/>
      <c r="BH96" s="141"/>
    </row>
    <row r="97" spans="1:60" x14ac:dyDescent="0.3">
      <c r="A97" s="140"/>
      <c r="H97" s="141"/>
      <c r="Z97" s="32"/>
      <c r="AA97" s="140"/>
      <c r="AH97" s="141"/>
      <c r="AZ97" s="32"/>
      <c r="BA97" s="140"/>
      <c r="BH97" s="141"/>
    </row>
    <row r="98" spans="1:60" x14ac:dyDescent="0.3">
      <c r="A98" s="140"/>
      <c r="H98" s="141"/>
      <c r="Z98" s="32"/>
      <c r="AA98" s="140"/>
      <c r="AH98" s="141"/>
      <c r="AZ98" s="32"/>
      <c r="BA98" s="140"/>
      <c r="BH98" s="141"/>
    </row>
    <row r="99" spans="1:60" x14ac:dyDescent="0.3">
      <c r="A99" s="140"/>
      <c r="Z99" s="32"/>
      <c r="AA99" s="140"/>
      <c r="AZ99" s="32"/>
      <c r="BA99" s="140"/>
    </row>
    <row r="100" spans="1:60" x14ac:dyDescent="0.3">
      <c r="A100" s="140"/>
      <c r="Z100" s="32"/>
      <c r="AA100" s="140"/>
      <c r="AZ100" s="32"/>
      <c r="BA100" s="140"/>
    </row>
    <row r="101" spans="1:60" x14ac:dyDescent="0.3">
      <c r="A101" s="140"/>
      <c r="Z101" s="32"/>
      <c r="AA101" s="140"/>
      <c r="AZ101" s="32"/>
      <c r="BA101" s="140"/>
    </row>
    <row r="102" spans="1:60" x14ac:dyDescent="0.3">
      <c r="A102" s="140"/>
      <c r="Z102" s="32"/>
      <c r="AA102" s="140"/>
      <c r="AZ102" s="32"/>
      <c r="BA102" s="140"/>
    </row>
    <row r="103" spans="1:60" x14ac:dyDescent="0.3">
      <c r="A103" s="140"/>
      <c r="Z103" s="32"/>
      <c r="AA103" s="140"/>
      <c r="AZ103" s="32"/>
      <c r="BA103" s="140"/>
    </row>
    <row r="104" spans="1:60" x14ac:dyDescent="0.3">
      <c r="A104" s="140"/>
      <c r="Z104" s="32"/>
      <c r="AA104" s="140"/>
      <c r="AZ104" s="32"/>
      <c r="BA104" s="140"/>
    </row>
    <row r="105" spans="1:60" x14ac:dyDescent="0.3">
      <c r="A105" s="140"/>
      <c r="Z105" s="32"/>
      <c r="AA105" s="140"/>
      <c r="AZ105" s="32"/>
      <c r="BA105" s="140"/>
    </row>
    <row r="106" spans="1:60" x14ac:dyDescent="0.3">
      <c r="A106" s="140"/>
      <c r="Z106" s="32"/>
      <c r="AA106" s="140"/>
      <c r="AZ106" s="32"/>
      <c r="BA106" s="140"/>
    </row>
    <row r="107" spans="1:60" x14ac:dyDescent="0.3">
      <c r="A107" s="140"/>
      <c r="Z107" s="32"/>
      <c r="AA107" s="140"/>
      <c r="AZ107" s="32"/>
      <c r="BA107" s="140"/>
    </row>
    <row r="108" spans="1:60" x14ac:dyDescent="0.3">
      <c r="A108" s="140"/>
      <c r="Z108" s="32"/>
      <c r="AA108" s="140"/>
      <c r="AZ108" s="32"/>
      <c r="BA108" s="140"/>
    </row>
    <row r="109" spans="1:60" x14ac:dyDescent="0.3">
      <c r="A109" s="140"/>
      <c r="Z109" s="32"/>
      <c r="AA109" s="140"/>
      <c r="AZ109" s="32"/>
      <c r="BA109" s="140"/>
    </row>
    <row r="110" spans="1:60" x14ac:dyDescent="0.3">
      <c r="A110" s="140"/>
      <c r="Z110" s="32"/>
      <c r="AA110" s="140"/>
      <c r="AZ110" s="32"/>
      <c r="BA110" s="140"/>
    </row>
    <row r="111" spans="1:60" x14ac:dyDescent="0.3">
      <c r="A111" s="140"/>
      <c r="Z111" s="32"/>
      <c r="AA111" s="140"/>
      <c r="AZ111" s="32"/>
      <c r="BA111" s="140"/>
    </row>
    <row r="112" spans="1:60" x14ac:dyDescent="0.3">
      <c r="A112" s="140"/>
      <c r="Z112" s="32"/>
      <c r="AA112" s="140"/>
      <c r="AZ112" s="32"/>
      <c r="BA112" s="140"/>
    </row>
    <row r="113" spans="1:67" x14ac:dyDescent="0.3">
      <c r="A113" s="140"/>
      <c r="Z113" s="32"/>
      <c r="AA113" s="140"/>
      <c r="AZ113" s="32"/>
      <c r="BA113" s="140"/>
    </row>
    <row r="114" spans="1:67" x14ac:dyDescent="0.3">
      <c r="A114" s="140"/>
      <c r="Z114" s="32"/>
      <c r="AA114" s="140"/>
      <c r="AZ114" s="32"/>
      <c r="BA114" s="140"/>
    </row>
    <row r="115" spans="1:67" x14ac:dyDescent="0.3">
      <c r="A115" s="140"/>
      <c r="Z115" s="32"/>
      <c r="AA115" s="140"/>
      <c r="AZ115" s="32"/>
      <c r="BA115" s="140"/>
    </row>
    <row r="116" spans="1:67" x14ac:dyDescent="0.3">
      <c r="A116" s="140"/>
      <c r="Z116" s="32"/>
      <c r="AA116" s="140"/>
      <c r="AZ116" s="32"/>
      <c r="BA116" s="140"/>
    </row>
    <row r="117" spans="1:67" x14ac:dyDescent="0.3">
      <c r="A117" s="140"/>
      <c r="Z117" s="32"/>
      <c r="AA117" s="140"/>
      <c r="AZ117" s="32"/>
      <c r="BA117" s="140"/>
    </row>
    <row r="118" spans="1:67" x14ac:dyDescent="0.3">
      <c r="A118" s="140"/>
      <c r="C118" s="142"/>
      <c r="D118" s="143"/>
      <c r="F118" s="143"/>
      <c r="G118" s="143"/>
      <c r="H118" s="143"/>
      <c r="I118" s="143"/>
      <c r="J118" s="143"/>
      <c r="K118" s="143"/>
      <c r="L118" s="143"/>
      <c r="M118" s="143"/>
      <c r="N118" s="143"/>
      <c r="O118" s="143"/>
      <c r="Z118" s="32"/>
      <c r="AA118" s="140"/>
      <c r="AC118" s="142"/>
      <c r="AD118" s="143"/>
      <c r="AF118" s="143"/>
      <c r="AG118" s="143"/>
      <c r="AH118" s="143"/>
      <c r="AI118" s="143"/>
      <c r="AJ118" s="143"/>
      <c r="AK118" s="143"/>
      <c r="AL118" s="143"/>
      <c r="AM118" s="143"/>
      <c r="AN118" s="143"/>
      <c r="AO118" s="143"/>
      <c r="AZ118" s="32"/>
      <c r="BA118" s="140"/>
      <c r="BC118" s="142"/>
      <c r="BD118" s="143"/>
      <c r="BF118" s="143"/>
      <c r="BG118" s="143"/>
      <c r="BH118" s="143"/>
      <c r="BI118" s="143"/>
      <c r="BJ118" s="143"/>
      <c r="BK118" s="143"/>
      <c r="BL118" s="143"/>
      <c r="BM118" s="143"/>
      <c r="BN118" s="143"/>
      <c r="BO118" s="143"/>
    </row>
    <row r="119" spans="1:67" x14ac:dyDescent="0.3">
      <c r="A119" s="140"/>
      <c r="Z119" s="32"/>
      <c r="AA119" s="140"/>
      <c r="AZ119" s="32"/>
      <c r="BA119" s="140"/>
    </row>
    <row r="120" spans="1:67" x14ac:dyDescent="0.3">
      <c r="A120" s="140"/>
      <c r="Z120" s="32"/>
      <c r="AA120" s="140"/>
      <c r="AZ120" s="32"/>
      <c r="BA120" s="140"/>
    </row>
    <row r="121" spans="1:67" x14ac:dyDescent="0.3">
      <c r="Z121" s="32"/>
      <c r="AZ121" s="32"/>
    </row>
    <row r="122" spans="1:67" x14ac:dyDescent="0.3">
      <c r="Z122" s="32"/>
      <c r="AZ122" s="32"/>
    </row>
    <row r="123" spans="1:67" x14ac:dyDescent="0.3">
      <c r="Z123" s="32"/>
      <c r="AZ123" s="32"/>
    </row>
    <row r="124" spans="1:67" x14ac:dyDescent="0.3">
      <c r="Z124" s="32"/>
      <c r="AZ124" s="32"/>
    </row>
    <row r="125" spans="1:67" x14ac:dyDescent="0.3">
      <c r="Z125" s="32"/>
      <c r="AZ125" s="32"/>
    </row>
    <row r="126" spans="1:67" x14ac:dyDescent="0.3">
      <c r="Z126" s="32"/>
      <c r="AZ126" s="32"/>
    </row>
    <row r="127" spans="1:67" x14ac:dyDescent="0.3">
      <c r="Z127" s="32"/>
      <c r="AZ127" s="32"/>
    </row>
    <row r="128" spans="1:67" x14ac:dyDescent="0.3">
      <c r="Z128" s="32"/>
      <c r="AZ128" s="32"/>
    </row>
    <row r="129" spans="26:52" x14ac:dyDescent="0.3">
      <c r="Z129" s="32"/>
      <c r="AZ129" s="32"/>
    </row>
    <row r="130" spans="26:52" x14ac:dyDescent="0.3">
      <c r="Z130" s="32"/>
      <c r="AZ130" s="32"/>
    </row>
    <row r="131" spans="26:52" x14ac:dyDescent="0.3">
      <c r="Z131" s="32"/>
      <c r="AZ131" s="32"/>
    </row>
    <row r="132" spans="26:52" x14ac:dyDescent="0.3">
      <c r="Z132" s="32"/>
      <c r="AZ132" s="32"/>
    </row>
    <row r="133" spans="26:52" x14ac:dyDescent="0.3">
      <c r="Z133" s="32"/>
      <c r="AZ133" s="32"/>
    </row>
    <row r="134" spans="26:52" x14ac:dyDescent="0.3">
      <c r="Z134" s="32"/>
      <c r="AZ134" s="32"/>
    </row>
    <row r="135" spans="26:52" x14ac:dyDescent="0.3">
      <c r="Z135" s="32"/>
      <c r="AZ135" s="32"/>
    </row>
    <row r="136" spans="26:52" x14ac:dyDescent="0.3">
      <c r="Z136" s="32"/>
      <c r="AZ136" s="32"/>
    </row>
    <row r="137" spans="26:52" x14ac:dyDescent="0.3">
      <c r="Z137" s="32"/>
      <c r="AZ137" s="32"/>
    </row>
    <row r="138" spans="26:52" x14ac:dyDescent="0.3">
      <c r="Z138" s="32"/>
      <c r="AZ138" s="32"/>
    </row>
    <row r="139" spans="26:52" x14ac:dyDescent="0.3">
      <c r="Z139" s="32"/>
      <c r="AZ139" s="32"/>
    </row>
    <row r="140" spans="26:52" x14ac:dyDescent="0.3">
      <c r="Z140" s="32"/>
      <c r="AZ140" s="32"/>
    </row>
    <row r="141" spans="26:52" x14ac:dyDescent="0.3">
      <c r="Z141" s="32"/>
      <c r="AZ141" s="32"/>
    </row>
    <row r="142" spans="26:52" x14ac:dyDescent="0.3">
      <c r="Z142" s="32"/>
      <c r="AZ142" s="32"/>
    </row>
    <row r="143" spans="26:52" x14ac:dyDescent="0.3">
      <c r="Z143" s="32"/>
      <c r="AZ143" s="32"/>
    </row>
    <row r="144" spans="26:52" x14ac:dyDescent="0.3">
      <c r="Z144" s="32"/>
      <c r="AZ144" s="32"/>
    </row>
  </sheetData>
  <pageMargins left="0.3" right="0.3" top="0.25" bottom="0.25" header="0.05" footer="0.05"/>
  <pageSetup paperSize="5" scale="80" orientation="landscape" r:id="rId1"/>
  <headerFooter>
    <oddHeader>&amp;RDEF’s Response to OPC POD 1 (1-26)
Q7
Page &amp;P of &amp;N</oddHeader>
    <oddFooter xml:space="preserve">&amp;R&amp;9&amp;Z&amp;F "&amp;A" &amp;D &amp;[Time
20240025-OPCPOD1-00004288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CA25-067F-444B-B5F4-DD62080A44C7}">
  <sheetPr syncVertical="1" syncRef="L1" transitionEvaluation="1" transitionEntry="1"/>
  <dimension ref="A2:BY144"/>
  <sheetViews>
    <sheetView tabSelected="1" topLeftCell="L1" zoomScale="70" zoomScaleNormal="70" workbookViewId="0">
      <selection activeCell="G65" sqref="G65"/>
    </sheetView>
  </sheetViews>
  <sheetFormatPr defaultColWidth="8.54296875" defaultRowHeight="13.8" x14ac:dyDescent="0.3"/>
  <cols>
    <col min="1" max="1" width="5.08984375" style="135" customWidth="1"/>
    <col min="2" max="2" width="1.453125" style="3" customWidth="1"/>
    <col min="3" max="3" width="12.453125" style="3" customWidth="1"/>
    <col min="4" max="4" width="6.54296875" style="3" customWidth="1"/>
    <col min="5" max="5" width="9.81640625" style="3" customWidth="1"/>
    <col min="6" max="6" width="12.453125" style="3" customWidth="1"/>
    <col min="7" max="7" width="10.1796875" style="3" customWidth="1"/>
    <col min="8" max="8" width="10.36328125" style="3" customWidth="1"/>
    <col min="9" max="9" width="11.1796875" style="3" bestFit="1" customWidth="1"/>
    <col min="10" max="10" width="8" style="3" bestFit="1" customWidth="1"/>
    <col min="11" max="11" width="12.6328125" style="3" bestFit="1" customWidth="1"/>
    <col min="12" max="12" width="13.1796875" style="3" bestFit="1" customWidth="1"/>
    <col min="13" max="13" width="9.1796875" style="3" customWidth="1"/>
    <col min="14" max="14" width="8.1796875" style="3" bestFit="1" customWidth="1"/>
    <col min="15" max="15" width="10.08984375" style="3" bestFit="1" customWidth="1"/>
    <col min="16" max="16" width="12.453125" style="3" customWidth="1"/>
    <col min="17" max="19" width="8.54296875" style="3"/>
    <col min="20" max="22" width="9.08984375" style="3" customWidth="1"/>
    <col min="23" max="26" width="1.08984375" style="3" customWidth="1"/>
    <col min="27" max="27" width="5.08984375" style="135" customWidth="1"/>
    <col min="28" max="28" width="1.453125" style="3" customWidth="1"/>
    <col min="29" max="29" width="12.453125" style="3" customWidth="1"/>
    <col min="30" max="30" width="6.54296875" style="3" customWidth="1"/>
    <col min="31" max="31" width="9.81640625" style="3" customWidth="1"/>
    <col min="32" max="32" width="12.453125" style="3" customWidth="1"/>
    <col min="33" max="33" width="10.1796875" style="3" customWidth="1"/>
    <col min="34" max="34" width="10.36328125" style="3" customWidth="1"/>
    <col min="35" max="35" width="11.1796875" style="3" bestFit="1" customWidth="1"/>
    <col min="36" max="36" width="8" style="3" bestFit="1" customWidth="1"/>
    <col min="37" max="37" width="12.6328125" style="3" bestFit="1" customWidth="1"/>
    <col min="38" max="38" width="13.1796875" style="3" bestFit="1" customWidth="1"/>
    <col min="39" max="39" width="9.1796875" style="3" customWidth="1"/>
    <col min="40" max="40" width="8.1796875" style="3" bestFit="1" customWidth="1"/>
    <col min="41" max="41" width="10.08984375" style="3" bestFit="1" customWidth="1"/>
    <col min="42" max="42" width="12.453125" style="3" customWidth="1"/>
    <col min="43" max="45" width="8.54296875" style="3"/>
    <col min="46" max="47" width="9.08984375" style="3" customWidth="1"/>
    <col min="48" max="52" width="1.08984375" style="3" customWidth="1"/>
    <col min="53" max="53" width="5.08984375" style="135" customWidth="1"/>
    <col min="54" max="54" width="1.453125" style="3" customWidth="1"/>
    <col min="55" max="55" width="12.453125" style="3" customWidth="1"/>
    <col min="56" max="56" width="6.54296875" style="3" customWidth="1"/>
    <col min="57" max="57" width="9.81640625" style="3" customWidth="1"/>
    <col min="58" max="58" width="12.453125" style="3" customWidth="1"/>
    <col min="59" max="59" width="10.1796875" style="3" customWidth="1"/>
    <col min="60" max="60" width="10.36328125" style="3" customWidth="1"/>
    <col min="61" max="61" width="9.08984375" style="3" customWidth="1"/>
    <col min="62" max="62" width="8" style="3" bestFit="1" customWidth="1"/>
    <col min="63" max="63" width="10.81640625" style="3" customWidth="1"/>
    <col min="64" max="64" width="13.1796875" style="3" bestFit="1" customWidth="1"/>
    <col min="65" max="65" width="9.1796875" style="3" customWidth="1"/>
    <col min="66" max="66" width="8.1796875" style="3" bestFit="1" customWidth="1"/>
    <col min="67" max="67" width="10.08984375" style="3" bestFit="1" customWidth="1"/>
    <col min="68" max="68" width="12.453125" style="3" customWidth="1"/>
    <col min="69" max="71" width="8.54296875" style="3"/>
    <col min="72" max="73" width="9.08984375" style="3" customWidth="1"/>
    <col min="74" max="77" width="1.08984375" style="3" customWidth="1"/>
    <col min="78" max="171" width="8.54296875" style="3"/>
    <col min="172" max="172" width="4.08984375" style="3" customWidth="1"/>
    <col min="173" max="179" width="8.54296875" style="3"/>
    <col min="180" max="180" width="3.08984375" style="3" customWidth="1"/>
    <col min="181" max="427" width="8.54296875" style="3"/>
    <col min="428" max="428" width="4.08984375" style="3" customWidth="1"/>
    <col min="429" max="435" width="8.54296875" style="3"/>
    <col min="436" max="436" width="3.08984375" style="3" customWidth="1"/>
    <col min="437" max="683" width="8.54296875" style="3"/>
    <col min="684" max="684" width="4.08984375" style="3" customWidth="1"/>
    <col min="685" max="691" width="8.54296875" style="3"/>
    <col min="692" max="692" width="3.08984375" style="3" customWidth="1"/>
    <col min="693" max="939" width="8.54296875" style="3"/>
    <col min="940" max="940" width="4.08984375" style="3" customWidth="1"/>
    <col min="941" max="947" width="8.54296875" style="3"/>
    <col min="948" max="948" width="3.08984375" style="3" customWidth="1"/>
    <col min="949" max="1195" width="8.54296875" style="3"/>
    <col min="1196" max="1196" width="4.08984375" style="3" customWidth="1"/>
    <col min="1197" max="1203" width="8.54296875" style="3"/>
    <col min="1204" max="1204" width="3.08984375" style="3" customWidth="1"/>
    <col min="1205" max="1451" width="8.54296875" style="3"/>
    <col min="1452" max="1452" width="4.08984375" style="3" customWidth="1"/>
    <col min="1453" max="1459" width="8.54296875" style="3"/>
    <col min="1460" max="1460" width="3.08984375" style="3" customWidth="1"/>
    <col min="1461" max="1707" width="8.54296875" style="3"/>
    <col min="1708" max="1708" width="4.08984375" style="3" customWidth="1"/>
    <col min="1709" max="1715" width="8.54296875" style="3"/>
    <col min="1716" max="1716" width="3.08984375" style="3" customWidth="1"/>
    <col min="1717" max="1963" width="8.54296875" style="3"/>
    <col min="1964" max="1964" width="4.08984375" style="3" customWidth="1"/>
    <col min="1965" max="1971" width="8.54296875" style="3"/>
    <col min="1972" max="1972" width="3.08984375" style="3" customWidth="1"/>
    <col min="1973" max="2219" width="8.54296875" style="3"/>
    <col min="2220" max="2220" width="4.08984375" style="3" customWidth="1"/>
    <col min="2221" max="2227" width="8.54296875" style="3"/>
    <col min="2228" max="2228" width="3.08984375" style="3" customWidth="1"/>
    <col min="2229" max="2475" width="8.54296875" style="3"/>
    <col min="2476" max="2476" width="4.08984375" style="3" customWidth="1"/>
    <col min="2477" max="2483" width="8.54296875" style="3"/>
    <col min="2484" max="2484" width="3.08984375" style="3" customWidth="1"/>
    <col min="2485" max="2731" width="8.54296875" style="3"/>
    <col min="2732" max="2732" width="4.08984375" style="3" customWidth="1"/>
    <col min="2733" max="2739" width="8.54296875" style="3"/>
    <col min="2740" max="2740" width="3.08984375" style="3" customWidth="1"/>
    <col min="2741" max="2987" width="8.54296875" style="3"/>
    <col min="2988" max="2988" width="4.08984375" style="3" customWidth="1"/>
    <col min="2989" max="2995" width="8.54296875" style="3"/>
    <col min="2996" max="2996" width="3.08984375" style="3" customWidth="1"/>
    <col min="2997" max="3243" width="8.54296875" style="3"/>
    <col min="3244" max="3244" width="4.08984375" style="3" customWidth="1"/>
    <col min="3245" max="3251" width="8.54296875" style="3"/>
    <col min="3252" max="3252" width="3.08984375" style="3" customWidth="1"/>
    <col min="3253" max="3499" width="8.54296875" style="3"/>
    <col min="3500" max="3500" width="4.08984375" style="3" customWidth="1"/>
    <col min="3501" max="3507" width="8.54296875" style="3"/>
    <col min="3508" max="3508" width="3.08984375" style="3" customWidth="1"/>
    <col min="3509" max="3755" width="8.54296875" style="3"/>
    <col min="3756" max="3756" width="4.08984375" style="3" customWidth="1"/>
    <col min="3757" max="3763" width="8.54296875" style="3"/>
    <col min="3764" max="3764" width="3.08984375" style="3" customWidth="1"/>
    <col min="3765" max="4011" width="8.54296875" style="3"/>
    <col min="4012" max="4012" width="4.08984375" style="3" customWidth="1"/>
    <col min="4013" max="4019" width="8.54296875" style="3"/>
    <col min="4020" max="4020" width="3.08984375" style="3" customWidth="1"/>
    <col min="4021" max="4267" width="8.54296875" style="3"/>
    <col min="4268" max="4268" width="4.08984375" style="3" customWidth="1"/>
    <col min="4269" max="4275" width="8.54296875" style="3"/>
    <col min="4276" max="4276" width="3.08984375" style="3" customWidth="1"/>
    <col min="4277" max="4523" width="8.54296875" style="3"/>
    <col min="4524" max="4524" width="4.08984375" style="3" customWidth="1"/>
    <col min="4525" max="4531" width="8.54296875" style="3"/>
    <col min="4532" max="4532" width="3.08984375" style="3" customWidth="1"/>
    <col min="4533" max="4779" width="8.54296875" style="3"/>
    <col min="4780" max="4780" width="4.08984375" style="3" customWidth="1"/>
    <col min="4781" max="4787" width="8.54296875" style="3"/>
    <col min="4788" max="4788" width="3.08984375" style="3" customWidth="1"/>
    <col min="4789" max="5035" width="8.54296875" style="3"/>
    <col min="5036" max="5036" width="4.08984375" style="3" customWidth="1"/>
    <col min="5037" max="5043" width="8.54296875" style="3"/>
    <col min="5044" max="5044" width="3.08984375" style="3" customWidth="1"/>
    <col min="5045" max="5291" width="8.54296875" style="3"/>
    <col min="5292" max="5292" width="4.08984375" style="3" customWidth="1"/>
    <col min="5293" max="5299" width="8.54296875" style="3"/>
    <col min="5300" max="5300" width="3.08984375" style="3" customWidth="1"/>
    <col min="5301" max="5547" width="8.54296875" style="3"/>
    <col min="5548" max="5548" width="4.08984375" style="3" customWidth="1"/>
    <col min="5549" max="5555" width="8.54296875" style="3"/>
    <col min="5556" max="5556" width="3.08984375" style="3" customWidth="1"/>
    <col min="5557" max="5803" width="8.54296875" style="3"/>
    <col min="5804" max="5804" width="4.08984375" style="3" customWidth="1"/>
    <col min="5805" max="5811" width="8.54296875" style="3"/>
    <col min="5812" max="5812" width="3.08984375" style="3" customWidth="1"/>
    <col min="5813" max="6059" width="8.54296875" style="3"/>
    <col min="6060" max="6060" width="4.08984375" style="3" customWidth="1"/>
    <col min="6061" max="6067" width="8.54296875" style="3"/>
    <col min="6068" max="6068" width="3.08984375" style="3" customWidth="1"/>
    <col min="6069" max="6315" width="8.54296875" style="3"/>
    <col min="6316" max="6316" width="4.08984375" style="3" customWidth="1"/>
    <col min="6317" max="6323" width="8.54296875" style="3"/>
    <col min="6324" max="6324" width="3.08984375" style="3" customWidth="1"/>
    <col min="6325" max="6571" width="8.54296875" style="3"/>
    <col min="6572" max="6572" width="4.08984375" style="3" customWidth="1"/>
    <col min="6573" max="6579" width="8.54296875" style="3"/>
    <col min="6580" max="6580" width="3.08984375" style="3" customWidth="1"/>
    <col min="6581" max="6827" width="8.54296875" style="3"/>
    <col min="6828" max="6828" width="4.08984375" style="3" customWidth="1"/>
    <col min="6829" max="6835" width="8.54296875" style="3"/>
    <col min="6836" max="6836" width="3.08984375" style="3" customWidth="1"/>
    <col min="6837" max="7083" width="8.54296875" style="3"/>
    <col min="7084" max="7084" width="4.08984375" style="3" customWidth="1"/>
    <col min="7085" max="7091" width="8.54296875" style="3"/>
    <col min="7092" max="7092" width="3.08984375" style="3" customWidth="1"/>
    <col min="7093" max="7339" width="8.54296875" style="3"/>
    <col min="7340" max="7340" width="4.08984375" style="3" customWidth="1"/>
    <col min="7341" max="7347" width="8.54296875" style="3"/>
    <col min="7348" max="7348" width="3.08984375" style="3" customWidth="1"/>
    <col min="7349" max="7595" width="8.54296875" style="3"/>
    <col min="7596" max="7596" width="4.08984375" style="3" customWidth="1"/>
    <col min="7597" max="7603" width="8.54296875" style="3"/>
    <col min="7604" max="7604" width="3.08984375" style="3" customWidth="1"/>
    <col min="7605" max="7851" width="8.54296875" style="3"/>
    <col min="7852" max="7852" width="4.08984375" style="3" customWidth="1"/>
    <col min="7853" max="7859" width="8.54296875" style="3"/>
    <col min="7860" max="7860" width="3.08984375" style="3" customWidth="1"/>
    <col min="7861" max="8107" width="8.54296875" style="3"/>
    <col min="8108" max="8108" width="4.08984375" style="3" customWidth="1"/>
    <col min="8109" max="8115" width="8.54296875" style="3"/>
    <col min="8116" max="8116" width="3.08984375" style="3" customWidth="1"/>
    <col min="8117" max="8363" width="8.54296875" style="3"/>
    <col min="8364" max="8364" width="4.08984375" style="3" customWidth="1"/>
    <col min="8365" max="8371" width="8.54296875" style="3"/>
    <col min="8372" max="8372" width="3.08984375" style="3" customWidth="1"/>
    <col min="8373" max="8619" width="8.54296875" style="3"/>
    <col min="8620" max="8620" width="4.08984375" style="3" customWidth="1"/>
    <col min="8621" max="8627" width="8.54296875" style="3"/>
    <col min="8628" max="8628" width="3.08984375" style="3" customWidth="1"/>
    <col min="8629" max="8875" width="8.54296875" style="3"/>
    <col min="8876" max="8876" width="4.08984375" style="3" customWidth="1"/>
    <col min="8877" max="8883" width="8.54296875" style="3"/>
    <col min="8884" max="8884" width="3.08984375" style="3" customWidth="1"/>
    <col min="8885" max="9131" width="8.54296875" style="3"/>
    <col min="9132" max="9132" width="4.08984375" style="3" customWidth="1"/>
    <col min="9133" max="9139" width="8.54296875" style="3"/>
    <col min="9140" max="9140" width="3.08984375" style="3" customWidth="1"/>
    <col min="9141" max="9387" width="8.54296875" style="3"/>
    <col min="9388" max="9388" width="4.08984375" style="3" customWidth="1"/>
    <col min="9389" max="9395" width="8.54296875" style="3"/>
    <col min="9396" max="9396" width="3.08984375" style="3" customWidth="1"/>
    <col min="9397" max="9643" width="8.54296875" style="3"/>
    <col min="9644" max="9644" width="4.08984375" style="3" customWidth="1"/>
    <col min="9645" max="9651" width="8.54296875" style="3"/>
    <col min="9652" max="9652" width="3.08984375" style="3" customWidth="1"/>
    <col min="9653" max="9899" width="8.54296875" style="3"/>
    <col min="9900" max="9900" width="4.08984375" style="3" customWidth="1"/>
    <col min="9901" max="9907" width="8.54296875" style="3"/>
    <col min="9908" max="9908" width="3.08984375" style="3" customWidth="1"/>
    <col min="9909" max="10155" width="8.54296875" style="3"/>
    <col min="10156" max="10156" width="4.08984375" style="3" customWidth="1"/>
    <col min="10157" max="10163" width="8.54296875" style="3"/>
    <col min="10164" max="10164" width="3.08984375" style="3" customWidth="1"/>
    <col min="10165" max="10411" width="8.54296875" style="3"/>
    <col min="10412" max="10412" width="4.08984375" style="3" customWidth="1"/>
    <col min="10413" max="10419" width="8.54296875" style="3"/>
    <col min="10420" max="10420" width="3.08984375" style="3" customWidth="1"/>
    <col min="10421" max="10667" width="8.54296875" style="3"/>
    <col min="10668" max="10668" width="4.08984375" style="3" customWidth="1"/>
    <col min="10669" max="10675" width="8.54296875" style="3"/>
    <col min="10676" max="10676" width="3.08984375" style="3" customWidth="1"/>
    <col min="10677" max="10923" width="8.54296875" style="3"/>
    <col min="10924" max="10924" width="4.08984375" style="3" customWidth="1"/>
    <col min="10925" max="10931" width="8.54296875" style="3"/>
    <col min="10932" max="10932" width="3.08984375" style="3" customWidth="1"/>
    <col min="10933" max="11179" width="8.54296875" style="3"/>
    <col min="11180" max="11180" width="4.08984375" style="3" customWidth="1"/>
    <col min="11181" max="11187" width="8.54296875" style="3"/>
    <col min="11188" max="11188" width="3.08984375" style="3" customWidth="1"/>
    <col min="11189" max="11435" width="8.54296875" style="3"/>
    <col min="11436" max="11436" width="4.08984375" style="3" customWidth="1"/>
    <col min="11437" max="11443" width="8.54296875" style="3"/>
    <col min="11444" max="11444" width="3.08984375" style="3" customWidth="1"/>
    <col min="11445" max="11691" width="8.54296875" style="3"/>
    <col min="11692" max="11692" width="4.08984375" style="3" customWidth="1"/>
    <col min="11693" max="11699" width="8.54296875" style="3"/>
    <col min="11700" max="11700" width="3.08984375" style="3" customWidth="1"/>
    <col min="11701" max="11947" width="8.54296875" style="3"/>
    <col min="11948" max="11948" width="4.08984375" style="3" customWidth="1"/>
    <col min="11949" max="11955" width="8.54296875" style="3"/>
    <col min="11956" max="11956" width="3.08984375" style="3" customWidth="1"/>
    <col min="11957" max="12203" width="8.54296875" style="3"/>
    <col min="12204" max="12204" width="4.08984375" style="3" customWidth="1"/>
    <col min="12205" max="12211" width="8.54296875" style="3"/>
    <col min="12212" max="12212" width="3.08984375" style="3" customWidth="1"/>
    <col min="12213" max="12459" width="8.54296875" style="3"/>
    <col min="12460" max="12460" width="4.08984375" style="3" customWidth="1"/>
    <col min="12461" max="12467" width="8.54296875" style="3"/>
    <col min="12468" max="12468" width="3.08984375" style="3" customWidth="1"/>
    <col min="12469" max="12715" width="8.54296875" style="3"/>
    <col min="12716" max="12716" width="4.08984375" style="3" customWidth="1"/>
    <col min="12717" max="12723" width="8.54296875" style="3"/>
    <col min="12724" max="12724" width="3.08984375" style="3" customWidth="1"/>
    <col min="12725" max="12971" width="8.54296875" style="3"/>
    <col min="12972" max="12972" width="4.08984375" style="3" customWidth="1"/>
    <col min="12973" max="12979" width="8.54296875" style="3"/>
    <col min="12980" max="12980" width="3.08984375" style="3" customWidth="1"/>
    <col min="12981" max="13227" width="8.54296875" style="3"/>
    <col min="13228" max="13228" width="4.08984375" style="3" customWidth="1"/>
    <col min="13229" max="13235" width="8.54296875" style="3"/>
    <col min="13236" max="13236" width="3.08984375" style="3" customWidth="1"/>
    <col min="13237" max="13483" width="8.54296875" style="3"/>
    <col min="13484" max="13484" width="4.08984375" style="3" customWidth="1"/>
    <col min="13485" max="13491" width="8.54296875" style="3"/>
    <col min="13492" max="13492" width="3.08984375" style="3" customWidth="1"/>
    <col min="13493" max="13739" width="8.54296875" style="3"/>
    <col min="13740" max="13740" width="4.08984375" style="3" customWidth="1"/>
    <col min="13741" max="13747" width="8.54296875" style="3"/>
    <col min="13748" max="13748" width="3.08984375" style="3" customWidth="1"/>
    <col min="13749" max="13995" width="8.54296875" style="3"/>
    <col min="13996" max="13996" width="4.08984375" style="3" customWidth="1"/>
    <col min="13997" max="14003" width="8.54296875" style="3"/>
    <col min="14004" max="14004" width="3.08984375" style="3" customWidth="1"/>
    <col min="14005" max="14251" width="8.54296875" style="3"/>
    <col min="14252" max="14252" width="4.08984375" style="3" customWidth="1"/>
    <col min="14253" max="14259" width="8.54296875" style="3"/>
    <col min="14260" max="14260" width="3.08984375" style="3" customWidth="1"/>
    <col min="14261" max="14507" width="8.54296875" style="3"/>
    <col min="14508" max="14508" width="4.08984375" style="3" customWidth="1"/>
    <col min="14509" max="14515" width="8.54296875" style="3"/>
    <col min="14516" max="14516" width="3.08984375" style="3" customWidth="1"/>
    <col min="14517" max="14763" width="8.54296875" style="3"/>
    <col min="14764" max="14764" width="4.08984375" style="3" customWidth="1"/>
    <col min="14765" max="14771" width="8.54296875" style="3"/>
    <col min="14772" max="14772" width="3.08984375" style="3" customWidth="1"/>
    <col min="14773" max="15019" width="8.54296875" style="3"/>
    <col min="15020" max="15020" width="4.08984375" style="3" customWidth="1"/>
    <col min="15021" max="15027" width="8.54296875" style="3"/>
    <col min="15028" max="15028" width="3.08984375" style="3" customWidth="1"/>
    <col min="15029" max="15275" width="8.54296875" style="3"/>
    <col min="15276" max="15276" width="4.08984375" style="3" customWidth="1"/>
    <col min="15277" max="15283" width="8.54296875" style="3"/>
    <col min="15284" max="15284" width="3.08984375" style="3" customWidth="1"/>
    <col min="15285" max="15531" width="8.54296875" style="3"/>
    <col min="15532" max="15532" width="4.08984375" style="3" customWidth="1"/>
    <col min="15533" max="15539" width="8.54296875" style="3"/>
    <col min="15540" max="15540" width="3.08984375" style="3" customWidth="1"/>
    <col min="15541" max="15787" width="8.54296875" style="3"/>
    <col min="15788" max="15788" width="4.08984375" style="3" customWidth="1"/>
    <col min="15789" max="15795" width="8.54296875" style="3"/>
    <col min="15796" max="15796" width="3.08984375" style="3" customWidth="1"/>
    <col min="15797" max="16043" width="8.54296875" style="3"/>
    <col min="16044" max="16044" width="4.08984375" style="3" customWidth="1"/>
    <col min="16045" max="16051" width="8.54296875" style="3"/>
    <col min="16052" max="16052" width="3.08984375" style="3" customWidth="1"/>
    <col min="16053" max="16384" width="8.54296875" style="3"/>
  </cols>
  <sheetData>
    <row r="2" spans="1:77" s="29" customFormat="1" x14ac:dyDescent="0.3">
      <c r="A2" s="27">
        <f>'Procedures &amp; Inputs'!E22</f>
        <v>2027</v>
      </c>
      <c r="B2" s="27"/>
      <c r="C2" s="27"/>
      <c r="D2" s="27"/>
      <c r="E2" s="27"/>
      <c r="F2" s="27"/>
      <c r="G2" s="27"/>
      <c r="H2" s="27"/>
      <c r="I2" s="27"/>
      <c r="J2" s="27"/>
      <c r="K2" s="27"/>
      <c r="L2" s="27"/>
      <c r="M2" s="27"/>
      <c r="N2" s="27"/>
      <c r="O2" s="27"/>
      <c r="P2" s="27"/>
      <c r="Q2" s="27"/>
      <c r="R2" s="27"/>
      <c r="S2" s="27"/>
      <c r="T2" s="27"/>
      <c r="U2" s="27"/>
      <c r="V2" s="27"/>
      <c r="W2" s="27"/>
      <c r="X2" s="27"/>
      <c r="Y2" s="27"/>
      <c r="Z2" s="28"/>
      <c r="AA2" s="27">
        <f>'Procedures &amp; Inputs'!E21</f>
        <v>2026</v>
      </c>
      <c r="AB2" s="27"/>
      <c r="AC2" s="27"/>
      <c r="AD2" s="27"/>
      <c r="AE2" s="27"/>
      <c r="AF2" s="27"/>
      <c r="AG2" s="27"/>
      <c r="AH2" s="27"/>
      <c r="AI2" s="27"/>
      <c r="AJ2" s="27"/>
      <c r="AK2" s="27"/>
      <c r="AL2" s="27"/>
      <c r="AM2" s="27"/>
      <c r="AN2" s="27"/>
      <c r="AO2" s="27"/>
      <c r="AP2" s="27"/>
      <c r="AQ2" s="27"/>
      <c r="AR2" s="27"/>
      <c r="AS2" s="27"/>
      <c r="AT2" s="27"/>
      <c r="AU2" s="27"/>
      <c r="AV2" s="27"/>
      <c r="AW2" s="27"/>
      <c r="AX2" s="27"/>
      <c r="AY2" s="27"/>
      <c r="AZ2" s="28"/>
      <c r="BA2" s="27">
        <f>'Procedures &amp; Inputs'!$E$20</f>
        <v>2025</v>
      </c>
      <c r="BB2" s="27"/>
      <c r="BC2" s="27"/>
      <c r="BD2" s="27"/>
      <c r="BE2" s="27"/>
      <c r="BF2" s="27"/>
      <c r="BG2" s="27"/>
      <c r="BH2" s="27"/>
      <c r="BI2" s="27"/>
      <c r="BJ2" s="27"/>
      <c r="BK2" s="27"/>
      <c r="BL2" s="27"/>
      <c r="BM2" s="27"/>
      <c r="BN2" s="27"/>
      <c r="BO2" s="27"/>
      <c r="BP2" s="27"/>
      <c r="BQ2" s="27"/>
      <c r="BR2" s="27"/>
      <c r="BS2" s="27"/>
      <c r="BT2" s="27"/>
      <c r="BU2" s="27"/>
      <c r="BV2" s="27"/>
      <c r="BW2" s="27"/>
      <c r="BX2" s="27"/>
      <c r="BY2" s="27"/>
    </row>
    <row r="3" spans="1:77" x14ac:dyDescent="0.3">
      <c r="A3" s="1" t="s">
        <v>0</v>
      </c>
      <c r="B3" s="2"/>
      <c r="H3" s="2" t="s">
        <v>1</v>
      </c>
      <c r="I3" s="5"/>
      <c r="J3" s="5"/>
      <c r="K3" s="5"/>
      <c r="L3" s="5"/>
      <c r="M3" s="1"/>
      <c r="O3" s="30" t="str">
        <f>_xlfn.CONCAT(RIGHT('E-6a (1)'!$E$23,12))</f>
        <v>Page 5 of 13</v>
      </c>
      <c r="P3" s="6"/>
      <c r="Z3" s="32"/>
      <c r="AA3" s="1" t="s">
        <v>0</v>
      </c>
      <c r="AB3" s="2"/>
      <c r="AH3" s="2" t="s">
        <v>1</v>
      </c>
      <c r="AI3" s="5"/>
      <c r="AJ3" s="5"/>
      <c r="AK3" s="5"/>
      <c r="AL3" s="5"/>
      <c r="AM3" s="1"/>
      <c r="AO3" s="30" t="str">
        <f>_xlfn.CONCAT(RIGHT('E-6a (1)'!$E$24,12))</f>
        <v>Page 6 of 13</v>
      </c>
      <c r="AZ3" s="32"/>
      <c r="BA3" s="1" t="s">
        <v>0</v>
      </c>
      <c r="BB3" s="2"/>
      <c r="BH3" s="2" t="s">
        <v>1</v>
      </c>
      <c r="BI3" s="5"/>
      <c r="BJ3" s="5"/>
      <c r="BK3" s="5"/>
      <c r="BL3" s="5"/>
      <c r="BM3" s="1"/>
      <c r="BO3" s="30" t="str">
        <f>_xlfn.CONCAT(RIGHT('E-6a (1)'!$E$25,12))</f>
        <v>Page 7 of 13</v>
      </c>
    </row>
    <row r="4" spans="1:77" ht="4.5" customHeight="1" x14ac:dyDescent="0.3">
      <c r="A4" s="7"/>
      <c r="B4" s="8"/>
      <c r="C4" s="8"/>
      <c r="D4" s="8"/>
      <c r="E4" s="8"/>
      <c r="F4" s="8"/>
      <c r="G4" s="8"/>
      <c r="H4" s="8"/>
      <c r="I4" s="8"/>
      <c r="J4" s="8"/>
      <c r="K4" s="8"/>
      <c r="L4" s="8"/>
      <c r="M4" s="8"/>
      <c r="N4" s="8"/>
      <c r="O4" s="8"/>
      <c r="P4" s="8"/>
      <c r="Z4" s="32"/>
      <c r="AA4" s="7"/>
      <c r="AB4" s="8"/>
      <c r="AC4" s="8"/>
      <c r="AD4" s="8"/>
      <c r="AE4" s="8"/>
      <c r="AF4" s="8"/>
      <c r="AG4" s="8"/>
      <c r="AH4" s="8"/>
      <c r="AI4" s="8"/>
      <c r="AJ4" s="8"/>
      <c r="AK4" s="8"/>
      <c r="AL4" s="8"/>
      <c r="AM4" s="8"/>
      <c r="AN4" s="8"/>
      <c r="AO4" s="8"/>
      <c r="AP4" s="8"/>
      <c r="AZ4" s="32"/>
      <c r="BA4" s="7"/>
      <c r="BB4" s="8"/>
      <c r="BC4" s="8"/>
      <c r="BD4" s="8"/>
      <c r="BE4" s="8"/>
      <c r="BF4" s="8"/>
      <c r="BG4" s="8"/>
      <c r="BH4" s="8"/>
      <c r="BI4" s="8"/>
      <c r="BJ4" s="8"/>
      <c r="BK4" s="8"/>
      <c r="BL4" s="8"/>
      <c r="BM4" s="8"/>
      <c r="BN4" s="8"/>
      <c r="BO4" s="8"/>
      <c r="BP4" s="8"/>
    </row>
    <row r="5" spans="1:77" x14ac:dyDescent="0.3">
      <c r="A5" s="9" t="s">
        <v>3</v>
      </c>
      <c r="G5" s="1" t="s">
        <v>4</v>
      </c>
      <c r="H5" s="2" t="s">
        <v>32</v>
      </c>
      <c r="I5" s="5"/>
      <c r="J5" s="5"/>
      <c r="K5" s="5"/>
      <c r="L5" s="5"/>
      <c r="M5" s="9" t="s">
        <v>6</v>
      </c>
      <c r="Z5" s="32"/>
      <c r="AA5" s="9" t="s">
        <v>3</v>
      </c>
      <c r="AG5" s="1" t="s">
        <v>4</v>
      </c>
      <c r="AH5" s="2" t="s">
        <v>32</v>
      </c>
      <c r="AI5" s="5"/>
      <c r="AJ5" s="5"/>
      <c r="AK5" s="5"/>
      <c r="AL5" s="5"/>
      <c r="AM5" s="9" t="s">
        <v>6</v>
      </c>
      <c r="AZ5" s="32"/>
      <c r="BA5" s="9" t="s">
        <v>3</v>
      </c>
      <c r="BG5" s="1" t="s">
        <v>4</v>
      </c>
      <c r="BH5" s="2" t="s">
        <v>32</v>
      </c>
      <c r="BI5" s="5"/>
      <c r="BJ5" s="5"/>
      <c r="BK5" s="5"/>
      <c r="BL5" s="5"/>
      <c r="BM5" s="9" t="s">
        <v>6</v>
      </c>
    </row>
    <row r="6" spans="1:77" x14ac:dyDescent="0.3">
      <c r="A6" s="11" t="s">
        <v>8</v>
      </c>
      <c r="E6" s="1"/>
      <c r="F6" s="5"/>
      <c r="G6" s="5"/>
      <c r="H6" s="5"/>
      <c r="I6" s="5"/>
      <c r="J6" s="5"/>
      <c r="K6" s="5"/>
      <c r="L6" s="5"/>
      <c r="M6" s="10" t="str">
        <f>+'Procedures &amp; Inputs'!$F$10</f>
        <v>__X__  Projected Test Year Ended 12/31/27</v>
      </c>
      <c r="Z6" s="32"/>
      <c r="AA6" s="11" t="s">
        <v>8</v>
      </c>
      <c r="AE6" s="1"/>
      <c r="AF6" s="5"/>
      <c r="AG6" s="5"/>
      <c r="AH6" s="5"/>
      <c r="AI6" s="5"/>
      <c r="AJ6" s="5"/>
      <c r="AK6" s="5"/>
      <c r="AL6" s="5"/>
      <c r="AM6" s="10" t="str">
        <f>+'Procedures &amp; Inputs'!$F$11</f>
        <v>__X__  Projected Test Year Ended 12/31/26</v>
      </c>
      <c r="AZ6" s="32"/>
      <c r="BA6" s="11" t="s">
        <v>8</v>
      </c>
      <c r="BE6" s="1"/>
      <c r="BF6" s="5"/>
      <c r="BG6" s="5"/>
      <c r="BH6" s="5"/>
      <c r="BI6" s="5"/>
      <c r="BJ6" s="5"/>
      <c r="BK6" s="5"/>
      <c r="BL6" s="5"/>
      <c r="BM6" s="10" t="str">
        <f>+'Procedures &amp; Inputs'!$F$12</f>
        <v>__X__  Projected Test Year Ended 12/31/25</v>
      </c>
    </row>
    <row r="7" spans="1:77" x14ac:dyDescent="0.3">
      <c r="A7" s="11" t="s">
        <v>255</v>
      </c>
      <c r="B7" s="13"/>
      <c r="E7" s="1"/>
      <c r="F7" s="5"/>
      <c r="G7" s="5"/>
      <c r="H7" s="5"/>
      <c r="I7" s="5"/>
      <c r="J7" s="5"/>
      <c r="K7" s="5"/>
      <c r="L7" s="5"/>
      <c r="M7" s="9" t="str">
        <f>+'Procedures &amp; Inputs'!$H$16</f>
        <v>Witness:  Borsch, Olivier</v>
      </c>
      <c r="Z7" s="32"/>
      <c r="AA7" s="11" t="s">
        <v>255</v>
      </c>
      <c r="AB7" s="13"/>
      <c r="AE7" s="1"/>
      <c r="AF7" s="5"/>
      <c r="AG7" s="5"/>
      <c r="AH7" s="5"/>
      <c r="AI7" s="5"/>
      <c r="AJ7" s="5"/>
      <c r="AK7" s="5"/>
      <c r="AL7" s="5"/>
      <c r="AM7" s="9" t="str">
        <f>+'Procedures &amp; Inputs'!$H$16</f>
        <v>Witness:  Borsch, Olivier</v>
      </c>
      <c r="AZ7" s="32"/>
      <c r="BA7" s="11" t="s">
        <v>255</v>
      </c>
      <c r="BB7" s="13"/>
      <c r="BE7" s="1"/>
      <c r="BF7" s="5"/>
      <c r="BG7" s="5"/>
      <c r="BH7" s="5"/>
      <c r="BI7" s="5"/>
      <c r="BJ7" s="5"/>
      <c r="BK7" s="5"/>
      <c r="BL7" s="5"/>
      <c r="BM7" s="9" t="str">
        <f>+'Procedures &amp; Inputs'!$H$16</f>
        <v>Witness:  Borsch, Olivier</v>
      </c>
    </row>
    <row r="8" spans="1:77" ht="15.75" customHeight="1" x14ac:dyDescent="0.3">
      <c r="A8" s="33" t="str">
        <f>"PRODUCTION CAPACITY ALLOCATION METHOD: "&amp;'Procedures &amp; Inputs'!$D$216</f>
        <v>PRODUCTION CAPACITY ALLOCATION METHOD: 12 CP and 1/13 AD</v>
      </c>
      <c r="B8" s="34"/>
      <c r="C8" s="34"/>
      <c r="D8" s="34"/>
      <c r="E8" s="35"/>
      <c r="F8" s="35"/>
      <c r="G8" s="35"/>
      <c r="H8" s="35"/>
      <c r="I8" s="35"/>
      <c r="J8" s="35"/>
      <c r="K8" s="35"/>
      <c r="L8" s="35"/>
      <c r="M8" s="34"/>
      <c r="N8" s="34"/>
      <c r="O8" s="34"/>
      <c r="P8" s="34"/>
      <c r="Z8" s="32"/>
      <c r="AA8" s="33" t="str">
        <f>"PRODUCTION CAPACITY ALLOCATION METHOD: "&amp;'Procedures &amp; Inputs'!$D$216</f>
        <v>PRODUCTION CAPACITY ALLOCATION METHOD: 12 CP and 1/13 AD</v>
      </c>
      <c r="AB8" s="34"/>
      <c r="AC8" s="34"/>
      <c r="AD8" s="34"/>
      <c r="AE8" s="35"/>
      <c r="AF8" s="35"/>
      <c r="AG8" s="35"/>
      <c r="AH8" s="35"/>
      <c r="AI8" s="35"/>
      <c r="AJ8" s="35"/>
      <c r="AK8" s="35"/>
      <c r="AL8" s="35"/>
      <c r="AM8" s="34"/>
      <c r="AN8" s="34"/>
      <c r="AO8" s="34"/>
      <c r="AP8" s="34"/>
      <c r="AZ8" s="32"/>
      <c r="BA8" s="33" t="str">
        <f>"PRODUCTION CAPACITY ALLOCATION METHOD: "&amp;'Procedures &amp; Inputs'!$D$216</f>
        <v>PRODUCTION CAPACITY ALLOCATION METHOD: 12 CP and 1/13 AD</v>
      </c>
      <c r="BB8" s="34"/>
      <c r="BC8" s="34"/>
      <c r="BD8" s="34"/>
      <c r="BE8" s="35"/>
      <c r="BF8" s="35"/>
      <c r="BG8" s="35"/>
      <c r="BH8" s="35"/>
      <c r="BI8" s="35"/>
      <c r="BJ8" s="35"/>
      <c r="BK8" s="35"/>
      <c r="BL8" s="35"/>
      <c r="BM8" s="34"/>
      <c r="BN8" s="34"/>
      <c r="BO8" s="34"/>
      <c r="BP8" s="34"/>
    </row>
    <row r="9" spans="1:77" s="29" customFormat="1" x14ac:dyDescent="0.3">
      <c r="A9" s="36"/>
      <c r="B9" s="37"/>
      <c r="C9" s="37"/>
      <c r="G9" s="38">
        <v>-1</v>
      </c>
      <c r="H9" s="38">
        <f t="shared" ref="H9:O9" si="0">+G9-1</f>
        <v>-2</v>
      </c>
      <c r="I9" s="38">
        <f t="shared" si="0"/>
        <v>-3</v>
      </c>
      <c r="J9" s="38">
        <f t="shared" si="0"/>
        <v>-4</v>
      </c>
      <c r="K9" s="38">
        <f t="shared" si="0"/>
        <v>-5</v>
      </c>
      <c r="L9" s="38">
        <f t="shared" si="0"/>
        <v>-6</v>
      </c>
      <c r="M9" s="38">
        <f t="shared" si="0"/>
        <v>-7</v>
      </c>
      <c r="N9" s="38">
        <f t="shared" si="0"/>
        <v>-8</v>
      </c>
      <c r="O9" s="38">
        <f t="shared" si="0"/>
        <v>-9</v>
      </c>
      <c r="P9" s="349"/>
      <c r="Z9" s="28"/>
      <c r="AA9" s="36"/>
      <c r="AB9" s="37"/>
      <c r="AC9" s="37"/>
      <c r="AG9" s="38">
        <v>-1</v>
      </c>
      <c r="AH9" s="38">
        <f t="shared" ref="AH9:AO9" si="1">+AG9-1</f>
        <v>-2</v>
      </c>
      <c r="AI9" s="38">
        <f t="shared" si="1"/>
        <v>-3</v>
      </c>
      <c r="AJ9" s="38">
        <f t="shared" si="1"/>
        <v>-4</v>
      </c>
      <c r="AK9" s="38">
        <f t="shared" si="1"/>
        <v>-5</v>
      </c>
      <c r="AL9" s="38">
        <f t="shared" si="1"/>
        <v>-6</v>
      </c>
      <c r="AM9" s="38">
        <f t="shared" si="1"/>
        <v>-7</v>
      </c>
      <c r="AN9" s="38">
        <f t="shared" si="1"/>
        <v>-8</v>
      </c>
      <c r="AO9" s="38">
        <f t="shared" si="1"/>
        <v>-9</v>
      </c>
      <c r="AP9" s="349"/>
      <c r="AZ9" s="28"/>
      <c r="BA9" s="36"/>
      <c r="BB9" s="37"/>
      <c r="BC9" s="37"/>
      <c r="BG9" s="38">
        <v>-1</v>
      </c>
      <c r="BH9" s="38">
        <f t="shared" ref="BH9:BO9" si="2">+BG9-1</f>
        <v>-2</v>
      </c>
      <c r="BI9" s="38">
        <f t="shared" si="2"/>
        <v>-3</v>
      </c>
      <c r="BJ9" s="38">
        <f t="shared" si="2"/>
        <v>-4</v>
      </c>
      <c r="BK9" s="38">
        <f t="shared" si="2"/>
        <v>-5</v>
      </c>
      <c r="BL9" s="38">
        <f t="shared" si="2"/>
        <v>-6</v>
      </c>
      <c r="BM9" s="38">
        <f t="shared" si="2"/>
        <v>-7</v>
      </c>
      <c r="BN9" s="38">
        <f t="shared" si="2"/>
        <v>-8</v>
      </c>
      <c r="BO9" s="38">
        <f t="shared" si="2"/>
        <v>-9</v>
      </c>
      <c r="BP9" s="349"/>
    </row>
    <row r="10" spans="1:77" x14ac:dyDescent="0.3">
      <c r="A10" s="39"/>
      <c r="B10" s="40"/>
      <c r="C10" s="40"/>
      <c r="G10" s="36"/>
      <c r="H10" s="36"/>
      <c r="I10" s="36" t="s">
        <v>33</v>
      </c>
      <c r="J10" s="36" t="s">
        <v>33</v>
      </c>
      <c r="K10" s="36" t="s">
        <v>33</v>
      </c>
      <c r="L10" s="41" t="s">
        <v>34</v>
      </c>
      <c r="M10" s="42"/>
      <c r="N10" s="42"/>
      <c r="O10" s="41" t="s">
        <v>35</v>
      </c>
      <c r="P10" s="5"/>
      <c r="Z10" s="32"/>
      <c r="AA10" s="39"/>
      <c r="AB10" s="40"/>
      <c r="AC10" s="40"/>
      <c r="AG10" s="36"/>
      <c r="AH10" s="36"/>
      <c r="AI10" s="36" t="s">
        <v>33</v>
      </c>
      <c r="AJ10" s="36" t="s">
        <v>33</v>
      </c>
      <c r="AK10" s="36" t="s">
        <v>33</v>
      </c>
      <c r="AL10" s="41" t="s">
        <v>34</v>
      </c>
      <c r="AM10" s="42"/>
      <c r="AN10" s="42"/>
      <c r="AO10" s="41" t="s">
        <v>35</v>
      </c>
      <c r="AP10" s="5"/>
      <c r="AZ10" s="32"/>
      <c r="BA10" s="39"/>
      <c r="BB10" s="40"/>
      <c r="BC10" s="40"/>
      <c r="BG10" s="36"/>
      <c r="BH10" s="36"/>
      <c r="BI10" s="36" t="s">
        <v>33</v>
      </c>
      <c r="BJ10" s="36" t="s">
        <v>33</v>
      </c>
      <c r="BK10" s="36" t="s">
        <v>33</v>
      </c>
      <c r="BL10" s="41" t="s">
        <v>34</v>
      </c>
      <c r="BM10" s="42"/>
      <c r="BN10" s="42"/>
      <c r="BO10" s="41" t="s">
        <v>35</v>
      </c>
      <c r="BP10" s="5"/>
    </row>
    <row r="11" spans="1:77" x14ac:dyDescent="0.3">
      <c r="A11" s="39" t="s">
        <v>36</v>
      </c>
      <c r="B11" s="40"/>
      <c r="C11" s="40"/>
      <c r="G11" s="36" t="s">
        <v>37</v>
      </c>
      <c r="H11" s="36" t="s">
        <v>38</v>
      </c>
      <c r="I11" s="36" t="s">
        <v>39</v>
      </c>
      <c r="J11" s="43" t="s">
        <v>40</v>
      </c>
      <c r="K11" s="36" t="s">
        <v>41</v>
      </c>
      <c r="L11" s="41" t="s">
        <v>42</v>
      </c>
      <c r="M11" s="44" t="s">
        <v>43</v>
      </c>
      <c r="N11" s="45"/>
      <c r="O11" s="41" t="s">
        <v>44</v>
      </c>
      <c r="P11" s="5"/>
      <c r="S11" s="46" t="s">
        <v>45</v>
      </c>
      <c r="T11" s="47" t="s">
        <v>46</v>
      </c>
      <c r="U11" s="41" t="s">
        <v>42</v>
      </c>
      <c r="V11" s="47"/>
      <c r="Z11" s="32"/>
      <c r="AA11" s="39" t="s">
        <v>36</v>
      </c>
      <c r="AB11" s="40"/>
      <c r="AC11" s="40"/>
      <c r="AG11" s="36" t="s">
        <v>37</v>
      </c>
      <c r="AH11" s="36" t="s">
        <v>38</v>
      </c>
      <c r="AI11" s="36" t="s">
        <v>39</v>
      </c>
      <c r="AJ11" s="43" t="s">
        <v>40</v>
      </c>
      <c r="AK11" s="36" t="s">
        <v>41</v>
      </c>
      <c r="AL11" s="41" t="s">
        <v>42</v>
      </c>
      <c r="AM11" s="44" t="s">
        <v>43</v>
      </c>
      <c r="AN11" s="45"/>
      <c r="AO11" s="41" t="s">
        <v>44</v>
      </c>
      <c r="AP11" s="5"/>
      <c r="AS11" s="46" t="s">
        <v>45</v>
      </c>
      <c r="AT11" s="47" t="s">
        <v>46</v>
      </c>
      <c r="AU11" s="41" t="s">
        <v>42</v>
      </c>
      <c r="AZ11" s="32"/>
      <c r="BA11" s="39" t="s">
        <v>36</v>
      </c>
      <c r="BB11" s="40"/>
      <c r="BC11" s="40"/>
      <c r="BG11" s="36" t="s">
        <v>37</v>
      </c>
      <c r="BH11" s="36" t="s">
        <v>38</v>
      </c>
      <c r="BI11" s="36" t="s">
        <v>39</v>
      </c>
      <c r="BJ11" s="43" t="s">
        <v>40</v>
      </c>
      <c r="BK11" s="36" t="s">
        <v>41</v>
      </c>
      <c r="BL11" s="41" t="s">
        <v>42</v>
      </c>
      <c r="BM11" s="44" t="s">
        <v>43</v>
      </c>
      <c r="BN11" s="45"/>
      <c r="BO11" s="41" t="s">
        <v>44</v>
      </c>
      <c r="BP11" s="5"/>
      <c r="BS11" s="46" t="s">
        <v>45</v>
      </c>
      <c r="BT11" s="47" t="s">
        <v>46</v>
      </c>
      <c r="BU11" s="41" t="s">
        <v>42</v>
      </c>
    </row>
    <row r="12" spans="1:77" x14ac:dyDescent="0.3">
      <c r="A12" s="48" t="s">
        <v>47</v>
      </c>
      <c r="B12" s="49"/>
      <c r="C12" s="49"/>
      <c r="D12" s="8"/>
      <c r="E12" s="8"/>
      <c r="F12" s="8"/>
      <c r="G12" s="50" t="s">
        <v>48</v>
      </c>
      <c r="H12" s="50" t="s">
        <v>49</v>
      </c>
      <c r="I12" s="50" t="s">
        <v>50</v>
      </c>
      <c r="J12" s="50" t="s">
        <v>51</v>
      </c>
      <c r="K12" s="50" t="s">
        <v>52</v>
      </c>
      <c r="L12" s="51" t="s">
        <v>53</v>
      </c>
      <c r="M12" s="50" t="s">
        <v>54</v>
      </c>
      <c r="N12" s="50" t="s">
        <v>55</v>
      </c>
      <c r="O12" s="51"/>
      <c r="P12" s="5"/>
      <c r="S12" s="52" t="s">
        <v>56</v>
      </c>
      <c r="T12" s="53" t="s">
        <v>57</v>
      </c>
      <c r="U12" s="51" t="s">
        <v>58</v>
      </c>
      <c r="V12" s="54"/>
      <c r="Z12" s="32"/>
      <c r="AA12" s="48" t="s">
        <v>47</v>
      </c>
      <c r="AB12" s="49"/>
      <c r="AC12" s="49"/>
      <c r="AD12" s="8"/>
      <c r="AE12" s="8"/>
      <c r="AF12" s="8"/>
      <c r="AG12" s="50" t="s">
        <v>48</v>
      </c>
      <c r="AH12" s="50" t="s">
        <v>49</v>
      </c>
      <c r="AI12" s="50" t="s">
        <v>50</v>
      </c>
      <c r="AJ12" s="50" t="s">
        <v>51</v>
      </c>
      <c r="AK12" s="50" t="s">
        <v>52</v>
      </c>
      <c r="AL12" s="51" t="s">
        <v>53</v>
      </c>
      <c r="AM12" s="50" t="s">
        <v>54</v>
      </c>
      <c r="AN12" s="50" t="s">
        <v>55</v>
      </c>
      <c r="AO12" s="51"/>
      <c r="AP12" s="5"/>
      <c r="AS12" s="52" t="s">
        <v>56</v>
      </c>
      <c r="AT12" s="53" t="s">
        <v>57</v>
      </c>
      <c r="AU12" s="51" t="s">
        <v>58</v>
      </c>
      <c r="AZ12" s="32"/>
      <c r="BA12" s="48" t="s">
        <v>47</v>
      </c>
      <c r="BB12" s="49"/>
      <c r="BC12" s="49"/>
      <c r="BD12" s="8"/>
      <c r="BE12" s="8"/>
      <c r="BF12" s="8"/>
      <c r="BG12" s="50" t="s">
        <v>48</v>
      </c>
      <c r="BH12" s="50" t="s">
        <v>49</v>
      </c>
      <c r="BI12" s="50" t="s">
        <v>50</v>
      </c>
      <c r="BJ12" s="50" t="s">
        <v>51</v>
      </c>
      <c r="BK12" s="50" t="s">
        <v>52</v>
      </c>
      <c r="BL12" s="51" t="s">
        <v>53</v>
      </c>
      <c r="BM12" s="50" t="s">
        <v>54</v>
      </c>
      <c r="BN12" s="50" t="s">
        <v>55</v>
      </c>
      <c r="BO12" s="51"/>
      <c r="BP12" s="5"/>
      <c r="BS12" s="52" t="s">
        <v>56</v>
      </c>
      <c r="BT12" s="53" t="s">
        <v>57</v>
      </c>
      <c r="BU12" s="51" t="s">
        <v>58</v>
      </c>
    </row>
    <row r="13" spans="1:77" x14ac:dyDescent="0.3">
      <c r="A13" s="55">
        <v>1</v>
      </c>
      <c r="B13" s="56"/>
      <c r="C13" s="57" t="s">
        <v>59</v>
      </c>
      <c r="F13" s="58"/>
      <c r="G13" s="56"/>
      <c r="H13" s="348"/>
      <c r="I13" s="348"/>
      <c r="J13" s="348"/>
      <c r="K13" s="348"/>
      <c r="L13" s="59"/>
      <c r="M13" s="59"/>
      <c r="N13" s="59"/>
      <c r="O13" s="59"/>
      <c r="P13" s="5"/>
      <c r="S13" s="60"/>
      <c r="Z13" s="32"/>
      <c r="AA13" s="55">
        <v>1</v>
      </c>
      <c r="AB13" s="56"/>
      <c r="AC13" s="57" t="s">
        <v>59</v>
      </c>
      <c r="AF13" s="58"/>
      <c r="AG13" s="56"/>
      <c r="AH13" s="348"/>
      <c r="AI13" s="348"/>
      <c r="AJ13" s="348"/>
      <c r="AK13" s="348"/>
      <c r="AL13" s="59"/>
      <c r="AM13" s="59"/>
      <c r="AN13" s="59"/>
      <c r="AO13" s="59"/>
      <c r="AP13" s="5"/>
      <c r="AS13" s="60"/>
      <c r="AZ13" s="32"/>
      <c r="BA13" s="55">
        <v>1</v>
      </c>
      <c r="BB13" s="56"/>
      <c r="BC13" s="57" t="s">
        <v>59</v>
      </c>
      <c r="BF13" s="58"/>
      <c r="BG13" s="56"/>
      <c r="BH13" s="348"/>
      <c r="BI13" s="348"/>
      <c r="BJ13" s="348"/>
      <c r="BK13" s="348"/>
      <c r="BL13" s="59"/>
      <c r="BM13" s="59"/>
      <c r="BN13" s="59"/>
      <c r="BO13" s="59"/>
      <c r="BP13" s="5"/>
      <c r="BS13" s="60"/>
    </row>
    <row r="14" spans="1:77" x14ac:dyDescent="0.3">
      <c r="A14" s="61">
        <f>A13+1</f>
        <v>2</v>
      </c>
      <c r="B14" s="62"/>
      <c r="C14" s="63" t="s">
        <v>60</v>
      </c>
      <c r="G14" s="64">
        <f>+G16*'Procedures &amp; Inputs'!$K$216</f>
        <v>1227649.407099454</v>
      </c>
      <c r="H14" s="64">
        <f>+G14*H45</f>
        <v>775164.65541307139</v>
      </c>
      <c r="I14" s="64">
        <f>+G14*I45</f>
        <v>65636.924736240835</v>
      </c>
      <c r="J14" s="64">
        <f>+G14*J45</f>
        <v>4051.8613154934706</v>
      </c>
      <c r="K14" s="64">
        <f>+G14*K45</f>
        <v>329702.05381529336</v>
      </c>
      <c r="L14" s="64">
        <f>U14+T14</f>
        <v>52658.054227648216</v>
      </c>
      <c r="M14" s="64">
        <f>+G14*M45</f>
        <v>435.85759170646895</v>
      </c>
      <c r="N14" s="64">
        <f>+G14*N45</f>
        <v>0</v>
      </c>
      <c r="O14" s="64">
        <f>+H14*O45</f>
        <v>0</v>
      </c>
      <c r="P14" s="5"/>
      <c r="S14" s="65">
        <f>SUM(H14:O14)-G14</f>
        <v>0</v>
      </c>
      <c r="T14" s="64">
        <f>+G14*T45</f>
        <v>3486.8607336517516</v>
      </c>
      <c r="U14" s="64">
        <f>+G14*U45</f>
        <v>49171.193493996463</v>
      </c>
      <c r="V14" s="64"/>
      <c r="Z14" s="32"/>
      <c r="AA14" s="61">
        <f>AA13+1</f>
        <v>2</v>
      </c>
      <c r="AB14" s="62"/>
      <c r="AC14" s="63" t="s">
        <v>60</v>
      </c>
      <c r="AG14" s="64">
        <f>+AG16*'Procedures &amp; Inputs'!$K$216</f>
        <v>1206931.7248554581</v>
      </c>
      <c r="AH14" s="64">
        <f>+AG14*AH45</f>
        <v>754591.81835550524</v>
      </c>
      <c r="AI14" s="64">
        <f>+AG14*AI45</f>
        <v>65607.601631417841</v>
      </c>
      <c r="AJ14" s="64">
        <f>+AG14*AJ45</f>
        <v>4040.8074148160736</v>
      </c>
      <c r="AK14" s="64">
        <f>+AG14*AK45</f>
        <v>329448.91134344524</v>
      </c>
      <c r="AL14" s="64">
        <f>+AG14*AL45</f>
        <v>52820.301769448699</v>
      </c>
      <c r="AM14" s="64">
        <f>+AG14*AM45</f>
        <v>422.42610369941036</v>
      </c>
      <c r="AN14" s="64">
        <f>+AG14*AN45</f>
        <v>0</v>
      </c>
      <c r="AO14" s="64">
        <f>+AH14*AO45</f>
        <v>0</v>
      </c>
      <c r="AP14" s="5"/>
      <c r="AS14" s="65">
        <f>SUM(AH14:AO14)-AG14</f>
        <v>0.14176287455484271</v>
      </c>
      <c r="AT14" s="64">
        <f>+AG14*AT45</f>
        <v>3505.1260160371485</v>
      </c>
      <c r="AU14" s="64">
        <f>+AG14*AU45</f>
        <v>49315.175753411546</v>
      </c>
      <c r="AZ14" s="32"/>
      <c r="BA14" s="61">
        <f>BA13+1</f>
        <v>2</v>
      </c>
      <c r="BB14" s="62"/>
      <c r="BC14" s="63" t="s">
        <v>60</v>
      </c>
      <c r="BG14" s="64">
        <f>+BG16*'Procedures &amp; Inputs'!$K$216</f>
        <v>1172143.8391888584</v>
      </c>
      <c r="BH14" s="64">
        <f>+BG14*BH45</f>
        <v>735303.01298120106</v>
      </c>
      <c r="BI14" s="64">
        <f>+BG14*BI45</f>
        <v>63428.14045823818</v>
      </c>
      <c r="BJ14" s="64">
        <f>+BG14*BJ45</f>
        <v>3924.8526277587744</v>
      </c>
      <c r="BK14" s="64">
        <f>+BG14*BK45</f>
        <v>318417.46157973894</v>
      </c>
      <c r="BL14" s="64">
        <f>+BG14*BL45</f>
        <v>50660.547572757838</v>
      </c>
      <c r="BM14" s="64">
        <f>+BG14*BM45</f>
        <v>409.8239691635668</v>
      </c>
      <c r="BN14" s="64">
        <f>+BG14*BN45</f>
        <v>0</v>
      </c>
      <c r="BO14" s="64">
        <f>+BH14*BO45</f>
        <v>0</v>
      </c>
      <c r="BP14" s="5"/>
      <c r="BS14" s="65">
        <f>SUM(BH14:BO14)-BG14</f>
        <v>0</v>
      </c>
      <c r="BT14" s="64">
        <f>+BG14*BT45</f>
        <v>3357.4040550707591</v>
      </c>
      <c r="BU14" s="64">
        <f>+BG14*BU45</f>
        <v>47303.143517687073</v>
      </c>
    </row>
    <row r="15" spans="1:77" x14ac:dyDescent="0.3">
      <c r="A15" s="61">
        <f t="shared" ref="A15:A73" si="3">+A14+1</f>
        <v>3</v>
      </c>
      <c r="B15" s="62"/>
      <c r="C15" s="63" t="s">
        <v>61</v>
      </c>
      <c r="F15" s="66"/>
      <c r="G15" s="40">
        <f t="shared" ref="G15:L15" si="4">+G16-G14</f>
        <v>102304.11725828773</v>
      </c>
      <c r="H15" s="40">
        <f>+H16-H14</f>
        <v>54488.195892936666</v>
      </c>
      <c r="I15" s="40">
        <f>+I16-I14</f>
        <v>5624.680366860659</v>
      </c>
      <c r="J15" s="40">
        <f t="shared" si="4"/>
        <v>530.95836857051336</v>
      </c>
      <c r="K15" s="40">
        <f t="shared" si="4"/>
        <v>33759.335654062335</v>
      </c>
      <c r="L15" s="40">
        <f t="shared" si="4"/>
        <v>7046.7075967508499</v>
      </c>
      <c r="M15" s="40">
        <f>+M16-M14</f>
        <v>854.23937910670281</v>
      </c>
      <c r="N15" s="40">
        <f>+N16-N14</f>
        <v>0</v>
      </c>
      <c r="O15" s="40">
        <f>+O16-O14</f>
        <v>0</v>
      </c>
      <c r="P15" s="5"/>
      <c r="S15" s="65">
        <f t="shared" ref="S15:S29" si="5">SUM(H15:O15)-G15</f>
        <v>0</v>
      </c>
      <c r="T15" s="40">
        <f>+T16-T14</f>
        <v>520.72795684468474</v>
      </c>
      <c r="U15" s="40">
        <f>+U16-U14</f>
        <v>6525.979639906167</v>
      </c>
      <c r="V15" s="40"/>
      <c r="Z15" s="32"/>
      <c r="AA15" s="61">
        <f t="shared" ref="AA15:AA73" si="6">+AA14+1</f>
        <v>3</v>
      </c>
      <c r="AB15" s="62"/>
      <c r="AC15" s="63" t="s">
        <v>61</v>
      </c>
      <c r="AF15" s="66"/>
      <c r="AG15" s="40">
        <f>+AG16-AG14</f>
        <v>100577.64373795479</v>
      </c>
      <c r="AH15" s="40">
        <f>+AH16-AH14</f>
        <v>52900.681513977586</v>
      </c>
      <c r="AI15" s="40">
        <f t="shared" ref="AI15:AL15" si="7">+AI16-AI14</f>
        <v>5607.2036383909726</v>
      </c>
      <c r="AJ15" s="40">
        <f t="shared" si="7"/>
        <v>530.04418249902164</v>
      </c>
      <c r="AK15" s="40">
        <f t="shared" si="7"/>
        <v>33640.204501033761</v>
      </c>
      <c r="AL15" s="40">
        <f t="shared" si="7"/>
        <v>7051.4986024680038</v>
      </c>
      <c r="AM15" s="40">
        <f>+AM16-AM14</f>
        <v>847.86953671095876</v>
      </c>
      <c r="AN15" s="40">
        <f>+AN16-AN14</f>
        <v>0</v>
      </c>
      <c r="AO15" s="40">
        <f>+AO16-AO14</f>
        <v>0</v>
      </c>
      <c r="AP15" s="5"/>
      <c r="AS15" s="65">
        <f t="shared" ref="AS15:AS29" si="8">SUM(AH15:AO15)-AG15</f>
        <v>-0.14176287449663505</v>
      </c>
      <c r="AT15" s="40">
        <f>+AT16-AT14</f>
        <v>521.99797099998523</v>
      </c>
      <c r="AU15" s="40">
        <f>+AU16-AU14</f>
        <v>6529.5006314680213</v>
      </c>
      <c r="AZ15" s="32"/>
      <c r="BA15" s="61">
        <f t="shared" ref="BA15:BA73" si="9">+BA14+1</f>
        <v>3</v>
      </c>
      <c r="BB15" s="62"/>
      <c r="BC15" s="63" t="s">
        <v>61</v>
      </c>
      <c r="BF15" s="66"/>
      <c r="BG15" s="40">
        <f t="shared" ref="BG15:BL15" si="10">+BG16-BG14</f>
        <v>97678.653265738161</v>
      </c>
      <c r="BH15" s="40">
        <f>+BH16-BH14</f>
        <v>51599.725374158937</v>
      </c>
      <c r="BI15" s="40">
        <f t="shared" si="10"/>
        <v>5428.9795485097275</v>
      </c>
      <c r="BJ15" s="40">
        <f t="shared" si="10"/>
        <v>515.74328924309793</v>
      </c>
      <c r="BK15" s="40">
        <f t="shared" si="10"/>
        <v>32544.573695078667</v>
      </c>
      <c r="BL15" s="40">
        <f t="shared" si="10"/>
        <v>6765.2235251850143</v>
      </c>
      <c r="BM15" s="40">
        <f>+BM16-BM14</f>
        <v>824.40783356282986</v>
      </c>
      <c r="BN15" s="40">
        <f>+BN16-BN14</f>
        <v>0</v>
      </c>
      <c r="BO15" s="40">
        <f>+BO16-BO14</f>
        <v>0</v>
      </c>
      <c r="BP15" s="5"/>
      <c r="BS15" s="65">
        <f t="shared" ref="BS15:BS29" si="11">SUM(BH15:BO15)-BG15</f>
        <v>0</v>
      </c>
      <c r="BT15" s="40">
        <f>+BT16-BT14</f>
        <v>499.13791818792151</v>
      </c>
      <c r="BU15" s="40">
        <f>+BU16-BU14</f>
        <v>6266.0856069970978</v>
      </c>
    </row>
    <row r="16" spans="1:77" x14ac:dyDescent="0.3">
      <c r="A16" s="61">
        <f t="shared" si="3"/>
        <v>4</v>
      </c>
      <c r="B16" s="62"/>
      <c r="C16" s="67" t="s">
        <v>62</v>
      </c>
      <c r="F16" s="3" t="s">
        <v>41</v>
      </c>
      <c r="G16" s="68">
        <f>'Procedures &amp; Inputs'!$F$80</f>
        <v>1329953.5243577417</v>
      </c>
      <c r="H16" s="69">
        <f>G16*H47</f>
        <v>829652.85130600806</v>
      </c>
      <c r="I16" s="69">
        <f>G16*I47</f>
        <v>71261.605103101494</v>
      </c>
      <c r="J16" s="69">
        <f>G16*J47</f>
        <v>4582.8196840639839</v>
      </c>
      <c r="K16" s="69">
        <f>G16*K47</f>
        <v>363461.38946935569</v>
      </c>
      <c r="L16" s="69">
        <f>G16*L47</f>
        <v>59704.761824399066</v>
      </c>
      <c r="M16" s="69">
        <f>G16*M47</f>
        <v>1290.0969708131718</v>
      </c>
      <c r="N16" s="69">
        <f>G16*N47</f>
        <v>0</v>
      </c>
      <c r="O16" s="69">
        <f>H16*O47</f>
        <v>0</v>
      </c>
      <c r="P16" s="5"/>
      <c r="S16" s="70">
        <f t="shared" si="5"/>
        <v>0</v>
      </c>
      <c r="T16" s="68">
        <f>G16*T47</f>
        <v>4007.5886904964364</v>
      </c>
      <c r="U16" s="68">
        <f>G16*U47</f>
        <v>55697.17313390263</v>
      </c>
      <c r="V16" s="71"/>
      <c r="Z16" s="32"/>
      <c r="AA16" s="61">
        <f t="shared" si="6"/>
        <v>4</v>
      </c>
      <c r="AB16" s="62"/>
      <c r="AC16" s="67" t="s">
        <v>62</v>
      </c>
      <c r="AF16" s="3" t="s">
        <v>41</v>
      </c>
      <c r="AG16" s="68">
        <f>'Procedures &amp; Inputs'!$F$95</f>
        <v>1307509.3685934129</v>
      </c>
      <c r="AH16" s="69">
        <f>AG16*AH47</f>
        <v>807492.49986948282</v>
      </c>
      <c r="AI16" s="69">
        <f>AG16*AI47</f>
        <v>71214.805269808814</v>
      </c>
      <c r="AJ16" s="69">
        <f>AG16*AJ47</f>
        <v>4570.8515973150952</v>
      </c>
      <c r="AK16" s="69">
        <f>AG16*AK47</f>
        <v>363089.11584447901</v>
      </c>
      <c r="AL16" s="69">
        <f>AG16*AL47</f>
        <v>59871.800371916703</v>
      </c>
      <c r="AM16" s="69">
        <f>AG16*AM47</f>
        <v>1270.2956404103691</v>
      </c>
      <c r="AN16" s="69">
        <f>AG16*AN47</f>
        <v>0</v>
      </c>
      <c r="AO16" s="69">
        <f>AH16*AO47</f>
        <v>0</v>
      </c>
      <c r="AP16" s="5"/>
      <c r="AS16" s="72">
        <f t="shared" si="8"/>
        <v>0</v>
      </c>
      <c r="AT16" s="68">
        <f>AG16*AT47</f>
        <v>4027.1239870371337</v>
      </c>
      <c r="AU16" s="68">
        <f>AG16*AU47</f>
        <v>55844.676384879567</v>
      </c>
      <c r="AZ16" s="32"/>
      <c r="BA16" s="61">
        <f t="shared" si="9"/>
        <v>4</v>
      </c>
      <c r="BB16" s="62"/>
      <c r="BC16" s="67" t="s">
        <v>62</v>
      </c>
      <c r="BF16" s="3" t="s">
        <v>41</v>
      </c>
      <c r="BG16" s="68">
        <f>'Procedures &amp; Inputs'!$F$110</f>
        <v>1269822.4924545966</v>
      </c>
      <c r="BH16" s="69">
        <f>BG16*BH47</f>
        <v>786902.73835535999</v>
      </c>
      <c r="BI16" s="69">
        <f>BG16*BI47</f>
        <v>68857.120006747908</v>
      </c>
      <c r="BJ16" s="69">
        <f>BG16*BJ47</f>
        <v>4440.5959170018723</v>
      </c>
      <c r="BK16" s="69">
        <f>BG16*BK47</f>
        <v>350962.03527481761</v>
      </c>
      <c r="BL16" s="69">
        <f>BG16*BL47</f>
        <v>57425.771097942852</v>
      </c>
      <c r="BM16" s="69">
        <f>BG16*BM47</f>
        <v>1234.2318027263966</v>
      </c>
      <c r="BN16" s="69">
        <f>BG16*BN47</f>
        <v>0</v>
      </c>
      <c r="BO16" s="69">
        <f>BH16*BO47</f>
        <v>0</v>
      </c>
      <c r="BP16" s="73"/>
      <c r="BS16" s="72">
        <f t="shared" si="11"/>
        <v>0</v>
      </c>
      <c r="BT16" s="68">
        <f>BG16*BT47</f>
        <v>3856.5419732586806</v>
      </c>
      <c r="BU16" s="68">
        <f>BG16*BU47</f>
        <v>53569.229124684171</v>
      </c>
    </row>
    <row r="17" spans="1:73" x14ac:dyDescent="0.3">
      <c r="A17" s="61">
        <f t="shared" si="3"/>
        <v>5</v>
      </c>
      <c r="B17" s="62"/>
      <c r="C17" s="67" t="s">
        <v>63</v>
      </c>
      <c r="F17" s="3" t="s">
        <v>54</v>
      </c>
      <c r="G17" s="40">
        <f>'Procedures &amp; Inputs'!F81</f>
        <v>246943.36976930525</v>
      </c>
      <c r="H17" s="40">
        <f>'Procedures &amp; Inputs'!G81</f>
        <v>149005.77293109478</v>
      </c>
      <c r="I17" s="40">
        <f>'Procedures &amp; Inputs'!H81</f>
        <v>18791.653920304467</v>
      </c>
      <c r="J17" s="40">
        <f>'Procedures &amp; Inputs'!I81</f>
        <v>1116.9322111130025</v>
      </c>
      <c r="K17" s="40">
        <f>'Procedures &amp; Inputs'!J81</f>
        <v>64573.052178610837</v>
      </c>
      <c r="L17" s="40">
        <f>SUM(T17:U17)</f>
        <v>10781.139856809687</v>
      </c>
      <c r="M17" s="40">
        <f>'Procedures &amp; Inputs'!M81</f>
        <v>2674.8180721306799</v>
      </c>
      <c r="N17" s="40">
        <f>'Procedures &amp; Inputs'!N81</f>
        <v>0</v>
      </c>
      <c r="O17" s="40">
        <f>'Procedures &amp; Inputs'!O81</f>
        <v>0</v>
      </c>
      <c r="P17" s="5"/>
      <c r="S17" s="74">
        <f>SUM(H17:O17)-G17</f>
        <v>-5.992417864035815E-4</v>
      </c>
      <c r="T17" s="40">
        <f>'Procedures &amp; Inputs'!K81</f>
        <v>1109.5566258293529</v>
      </c>
      <c r="U17" s="40">
        <f>'Procedures &amp; Inputs'!L81</f>
        <v>9671.5832309803336</v>
      </c>
      <c r="V17" s="75"/>
      <c r="Z17" s="32"/>
      <c r="AA17" s="61">
        <f t="shared" si="6"/>
        <v>5</v>
      </c>
      <c r="AB17" s="62"/>
      <c r="AC17" s="67" t="s">
        <v>63</v>
      </c>
      <c r="AF17" s="3" t="s">
        <v>54</v>
      </c>
      <c r="AG17" s="40">
        <f>'Procedures &amp; Inputs'!F96</f>
        <v>230681.35651887424</v>
      </c>
      <c r="AH17" s="40">
        <f>'Procedures &amp; Inputs'!G96</f>
        <v>141107.17301271475</v>
      </c>
      <c r="AI17" s="40">
        <f>'Procedures &amp; Inputs'!H96</f>
        <v>17737.090440442611</v>
      </c>
      <c r="AJ17" s="40">
        <f>'Procedures &amp; Inputs'!I96</f>
        <v>1032.8145073322787</v>
      </c>
      <c r="AK17" s="40">
        <f>'Procedures &amp; Inputs'!J96</f>
        <v>58555.475930930945</v>
      </c>
      <c r="AL17" s="40">
        <f>SUM(AT17:AU17)</f>
        <v>9685.670831008696</v>
      </c>
      <c r="AM17" s="40">
        <f>'Procedures &amp; Inputs'!M96</f>
        <v>2563.1311750078885</v>
      </c>
      <c r="AN17" s="40">
        <f>'Procedures &amp; Inputs'!N96</f>
        <v>0</v>
      </c>
      <c r="AO17" s="40">
        <f>'Procedures &amp; Inputs'!O96</f>
        <v>0</v>
      </c>
      <c r="AP17" s="5"/>
      <c r="AS17" s="65">
        <f t="shared" si="8"/>
        <v>-6.2143706600181758E-4</v>
      </c>
      <c r="AT17" s="40">
        <f>'Procedures &amp; Inputs'!K96</f>
        <v>1028.0757877674198</v>
      </c>
      <c r="AU17" s="40">
        <f>'Procedures &amp; Inputs'!L96</f>
        <v>8657.5950432412756</v>
      </c>
      <c r="AZ17" s="32"/>
      <c r="BA17" s="61">
        <f t="shared" si="9"/>
        <v>5</v>
      </c>
      <c r="BB17" s="62"/>
      <c r="BC17" s="67" t="s">
        <v>63</v>
      </c>
      <c r="BF17" s="3" t="s">
        <v>54</v>
      </c>
      <c r="BG17" s="40">
        <f>'Procedures &amp; Inputs'!F111</f>
        <v>231493.0261478516</v>
      </c>
      <c r="BH17" s="40">
        <f>'Procedures &amp; Inputs'!G111</f>
        <v>141799.26290611195</v>
      </c>
      <c r="BI17" s="40">
        <f>'Procedures &amp; Inputs'!H111</f>
        <v>17793.604471052364</v>
      </c>
      <c r="BJ17" s="40">
        <f>'Procedures &amp; Inputs'!I111</f>
        <v>1031.9855199065421</v>
      </c>
      <c r="BK17" s="40">
        <f>'Procedures &amp; Inputs'!J111</f>
        <v>58692.782195936197</v>
      </c>
      <c r="BL17" s="40">
        <f>SUM(BT17:BU17)</f>
        <v>9618.3181133073613</v>
      </c>
      <c r="BM17" s="40">
        <f>'Procedures &amp; Inputs'!M111</f>
        <v>2557.0722942835719</v>
      </c>
      <c r="BN17" s="40">
        <f>'Procedures &amp; Inputs'!N111</f>
        <v>0</v>
      </c>
      <c r="BO17" s="40">
        <f>'Procedures &amp; Inputs'!O111</f>
        <v>0</v>
      </c>
      <c r="BP17" s="5"/>
      <c r="BS17" s="65">
        <f t="shared" si="11"/>
        <v>-6.4725364791229367E-4</v>
      </c>
      <c r="BT17" s="40">
        <f>'Procedures &amp; Inputs'!K111</f>
        <v>1018.2134566320535</v>
      </c>
      <c r="BU17" s="40">
        <f>'Procedures &amp; Inputs'!L111</f>
        <v>8600.1046566753084</v>
      </c>
    </row>
    <row r="18" spans="1:73" x14ac:dyDescent="0.3">
      <c r="A18" s="61">
        <f t="shared" si="3"/>
        <v>6</v>
      </c>
      <c r="B18" s="62"/>
      <c r="C18" s="67" t="s">
        <v>64</v>
      </c>
      <c r="F18" s="3" t="s">
        <v>41</v>
      </c>
      <c r="G18" s="40">
        <f>'Procedures &amp; Inputs'!F82</f>
        <v>536668.49659004493</v>
      </c>
      <c r="H18" s="40">
        <f>'Procedures &amp; Inputs'!G82</f>
        <v>342284.71476139693</v>
      </c>
      <c r="I18" s="40">
        <f>'Procedures &amp; Inputs'!H82</f>
        <v>30447.659963334801</v>
      </c>
      <c r="J18" s="40">
        <f>'Procedures &amp; Inputs'!I82</f>
        <v>1761.6096535375459</v>
      </c>
      <c r="K18" s="40">
        <f>'Procedures &amp; Inputs'!J82</f>
        <v>140010.52137063621</v>
      </c>
      <c r="L18" s="40">
        <f t="shared" ref="L18:L27" si="12">SUM(T18:U18)</f>
        <v>21582.332119715615</v>
      </c>
      <c r="M18" s="40">
        <f>'Procedures &amp; Inputs'!M82</f>
        <v>581.65872142380442</v>
      </c>
      <c r="N18" s="40">
        <f>'Procedures &amp; Inputs'!N82</f>
        <v>0</v>
      </c>
      <c r="O18" s="40">
        <f>'Procedures &amp; Inputs'!O82</f>
        <v>0</v>
      </c>
      <c r="P18" s="5"/>
      <c r="S18" s="74">
        <f t="shared" si="5"/>
        <v>0</v>
      </c>
      <c r="T18" s="40">
        <f>'Procedures &amp; Inputs'!K82</f>
        <v>1527.7784508983577</v>
      </c>
      <c r="U18" s="40">
        <f>'Procedures &amp; Inputs'!L82</f>
        <v>20054.553668817258</v>
      </c>
      <c r="V18" s="75"/>
      <c r="Z18" s="32"/>
      <c r="AA18" s="61">
        <f t="shared" si="6"/>
        <v>6</v>
      </c>
      <c r="AB18" s="62"/>
      <c r="AC18" s="67" t="s">
        <v>64</v>
      </c>
      <c r="AF18" s="3" t="s">
        <v>41</v>
      </c>
      <c r="AG18" s="40">
        <f>'Procedures &amp; Inputs'!F97</f>
        <v>522484.11793794314</v>
      </c>
      <c r="AH18" s="40">
        <f>'Procedures &amp; Inputs'!G97</f>
        <v>330889.11766409688</v>
      </c>
      <c r="AI18" s="40">
        <f>'Procedures &amp; Inputs'!H97</f>
        <v>30046.217981484348</v>
      </c>
      <c r="AJ18" s="40">
        <f>'Procedures &amp; Inputs'!I97</f>
        <v>1733.419705488617</v>
      </c>
      <c r="AK18" s="40">
        <f>'Procedures &amp; Inputs'!J97</f>
        <v>137905.60085199634</v>
      </c>
      <c r="AL18" s="40">
        <f t="shared" ref="AL18:AL27" si="13">SUM(AT18:AU18)</f>
        <v>21335.384153148669</v>
      </c>
      <c r="AM18" s="40">
        <f>'Procedures &amp; Inputs'!M97</f>
        <v>574.37758172847293</v>
      </c>
      <c r="AN18" s="40">
        <f>'Procedures &amp; Inputs'!N97</f>
        <v>0</v>
      </c>
      <c r="AO18" s="40">
        <f>'Procedures &amp; Inputs'!O97</f>
        <v>0</v>
      </c>
      <c r="AP18" s="5"/>
      <c r="AS18" s="65">
        <f>SUM(AH18:AO18)-AG18</f>
        <v>0</v>
      </c>
      <c r="AT18" s="40">
        <f>'Procedures &amp; Inputs'!K97</f>
        <v>1514.5731000971412</v>
      </c>
      <c r="AU18" s="40">
        <f>'Procedures &amp; Inputs'!L97</f>
        <v>19820.811053051526</v>
      </c>
      <c r="AZ18" s="32"/>
      <c r="BA18" s="61">
        <f t="shared" si="9"/>
        <v>6</v>
      </c>
      <c r="BB18" s="62"/>
      <c r="BC18" s="67" t="s">
        <v>64</v>
      </c>
      <c r="BF18" s="3" t="s">
        <v>41</v>
      </c>
      <c r="BG18" s="40">
        <f>'Procedures &amp; Inputs'!F112</f>
        <v>498342.7884708927</v>
      </c>
      <c r="BH18" s="40">
        <f>'Procedures &amp; Inputs'!G112</f>
        <v>316635.79488538415</v>
      </c>
      <c r="BI18" s="40">
        <f>'Procedures &amp; Inputs'!H112</f>
        <v>28602.787963931143</v>
      </c>
      <c r="BJ18" s="40">
        <f>'Procedures &amp; Inputs'!I112</f>
        <v>1652.839298212207</v>
      </c>
      <c r="BK18" s="40">
        <f>'Procedures &amp; Inputs'!J112</f>
        <v>130827.97194638799</v>
      </c>
      <c r="BL18" s="40">
        <f t="shared" ref="BL18:BL27" si="14">SUM(BT18:BU18)</f>
        <v>20063.877309443375</v>
      </c>
      <c r="BM18" s="40">
        <f>'Procedures &amp; Inputs'!M112</f>
        <v>559.51706753382757</v>
      </c>
      <c r="BN18" s="40">
        <f>'Procedures &amp; Inputs'!N112</f>
        <v>0</v>
      </c>
      <c r="BO18" s="40">
        <f>'Procedures &amp; Inputs'!O112</f>
        <v>0</v>
      </c>
      <c r="BP18" s="5"/>
      <c r="BS18" s="65">
        <f t="shared" si="11"/>
        <v>0</v>
      </c>
      <c r="BT18" s="40">
        <f>'Procedures &amp; Inputs'!K112</f>
        <v>1425.9549085667697</v>
      </c>
      <c r="BU18" s="40">
        <f>'Procedures &amp; Inputs'!L112</f>
        <v>18637.922400876603</v>
      </c>
    </row>
    <row r="19" spans="1:73" x14ac:dyDescent="0.3">
      <c r="A19" s="61">
        <f t="shared" si="3"/>
        <v>7</v>
      </c>
      <c r="B19" s="62"/>
      <c r="C19" s="67" t="s">
        <v>65</v>
      </c>
      <c r="F19" s="3" t="s">
        <v>41</v>
      </c>
      <c r="G19" s="40">
        <f>'Procedures &amp; Inputs'!F83</f>
        <v>713267.77998903359</v>
      </c>
      <c r="H19" s="40">
        <f>'Procedures &amp; Inputs'!G83</f>
        <v>462539.45769333158</v>
      </c>
      <c r="I19" s="40">
        <f>'Procedures &amp; Inputs'!H83</f>
        <v>43192.87350753841</v>
      </c>
      <c r="J19" s="40">
        <f>'Procedures &amp; Inputs'!I83</f>
        <v>1979.0941228918525</v>
      </c>
      <c r="K19" s="40">
        <f>'Procedures &amp; Inputs'!J83</f>
        <v>179873.40529318294</v>
      </c>
      <c r="L19" s="40">
        <f t="shared" si="12"/>
        <v>19986.154824879897</v>
      </c>
      <c r="M19" s="40">
        <f>'Procedures &amp; Inputs'!M83</f>
        <v>5696.7945472088777</v>
      </c>
      <c r="N19" s="40">
        <f>'Procedures &amp; Inputs'!N83</f>
        <v>0</v>
      </c>
      <c r="O19" s="40">
        <f>'Procedures &amp; Inputs'!O83</f>
        <v>0</v>
      </c>
      <c r="P19" s="5"/>
      <c r="S19" s="74">
        <f t="shared" si="5"/>
        <v>0</v>
      </c>
      <c r="T19" s="40">
        <f>'Procedures &amp; Inputs'!K83</f>
        <v>2781.030280028051</v>
      </c>
      <c r="U19" s="40">
        <f>'Procedures &amp; Inputs'!L83</f>
        <v>17205.124544851846</v>
      </c>
      <c r="V19" s="75"/>
      <c r="Z19" s="32"/>
      <c r="AA19" s="61">
        <f t="shared" si="6"/>
        <v>7</v>
      </c>
      <c r="AB19" s="62"/>
      <c r="AC19" s="67" t="s">
        <v>65</v>
      </c>
      <c r="AF19" s="3" t="s">
        <v>41</v>
      </c>
      <c r="AG19" s="40">
        <f>'Procedures &amp; Inputs'!F98</f>
        <v>683349.39706557582</v>
      </c>
      <c r="AH19" s="40">
        <f>'Procedures &amp; Inputs'!G98</f>
        <v>439991.58701873006</v>
      </c>
      <c r="AI19" s="40">
        <f>'Procedures &amp; Inputs'!H98</f>
        <v>41924.859070230195</v>
      </c>
      <c r="AJ19" s="40">
        <f>'Procedures &amp; Inputs'!I98</f>
        <v>1917.9956967866251</v>
      </c>
      <c r="AK19" s="40">
        <f>'Procedures &amp; Inputs'!J98</f>
        <v>174539.18288557624</v>
      </c>
      <c r="AL19" s="40">
        <f t="shared" si="13"/>
        <v>19477.348135882185</v>
      </c>
      <c r="AM19" s="40">
        <f>'Procedures &amp; Inputs'!M98</f>
        <v>5498.4242583703772</v>
      </c>
      <c r="AN19" s="40">
        <f>'Procedures &amp; Inputs'!N98</f>
        <v>0</v>
      </c>
      <c r="AO19" s="40">
        <f>'Procedures &amp; Inputs'!O98</f>
        <v>0</v>
      </c>
      <c r="AP19" s="5"/>
      <c r="AS19" s="65">
        <f t="shared" si="8"/>
        <v>0</v>
      </c>
      <c r="AT19" s="40">
        <f>'Procedures &amp; Inputs'!K98</f>
        <v>2710.7837804904989</v>
      </c>
      <c r="AU19" s="40">
        <f>'Procedures &amp; Inputs'!L98</f>
        <v>16766.564355391685</v>
      </c>
      <c r="AZ19" s="32"/>
      <c r="BA19" s="61">
        <f t="shared" si="9"/>
        <v>7</v>
      </c>
      <c r="BB19" s="62"/>
      <c r="BC19" s="67" t="s">
        <v>65</v>
      </c>
      <c r="BF19" s="3" t="s">
        <v>41</v>
      </c>
      <c r="BG19" s="40">
        <f>'Procedures &amp; Inputs'!F113</f>
        <v>655334.03194766282</v>
      </c>
      <c r="BH19" s="40">
        <f>'Procedures &amp; Inputs'!G113</f>
        <v>423295.27931412414</v>
      </c>
      <c r="BI19" s="40">
        <f>'Procedures &amp; Inputs'!H113</f>
        <v>40112.324572277161</v>
      </c>
      <c r="BJ19" s="40">
        <f>'Procedures &amp; Inputs'!I113</f>
        <v>1841.3098109704915</v>
      </c>
      <c r="BK19" s="40">
        <f>'Procedures &amp; Inputs'!J113</f>
        <v>166382.54283940559</v>
      </c>
      <c r="BL19" s="40">
        <f t="shared" si="14"/>
        <v>18453.891309512041</v>
      </c>
      <c r="BM19" s="40">
        <f>'Procedures &amp; Inputs'!M113</f>
        <v>5248.6841013732892</v>
      </c>
      <c r="BN19" s="40">
        <f>'Procedures &amp; Inputs'!N113</f>
        <v>0</v>
      </c>
      <c r="BO19" s="40">
        <f>'Procedures &amp; Inputs'!O113</f>
        <v>0</v>
      </c>
      <c r="BP19" s="5"/>
      <c r="BS19" s="65">
        <f t="shared" si="11"/>
        <v>0</v>
      </c>
      <c r="BT19" s="40">
        <f>'Procedures &amp; Inputs'!K113</f>
        <v>2557.082543641644</v>
      </c>
      <c r="BU19" s="40">
        <f>'Procedures &amp; Inputs'!L113</f>
        <v>15896.808765870395</v>
      </c>
    </row>
    <row r="20" spans="1:73" x14ac:dyDescent="0.3">
      <c r="A20" s="61">
        <f t="shared" si="3"/>
        <v>8</v>
      </c>
      <c r="B20" s="62"/>
      <c r="C20" s="67" t="s">
        <v>66</v>
      </c>
      <c r="F20" s="3" t="s">
        <v>67</v>
      </c>
      <c r="G20" s="40">
        <f>'Procedures &amp; Inputs'!F84</f>
        <v>0</v>
      </c>
      <c r="H20" s="40">
        <f>'Procedures &amp; Inputs'!G84</f>
        <v>0</v>
      </c>
      <c r="I20" s="40">
        <f>'Procedures &amp; Inputs'!H84</f>
        <v>0</v>
      </c>
      <c r="J20" s="40">
        <f>'Procedures &amp; Inputs'!I84</f>
        <v>0</v>
      </c>
      <c r="K20" s="40">
        <f>'Procedures &amp; Inputs'!J84</f>
        <v>0</v>
      </c>
      <c r="L20" s="40">
        <f t="shared" si="12"/>
        <v>0</v>
      </c>
      <c r="M20" s="40">
        <f>'Procedures &amp; Inputs'!M84</f>
        <v>0</v>
      </c>
      <c r="N20" s="40">
        <f>'Procedures &amp; Inputs'!N84</f>
        <v>0</v>
      </c>
      <c r="O20" s="40">
        <f>'Procedures &amp; Inputs'!O84</f>
        <v>0</v>
      </c>
      <c r="P20" s="5"/>
      <c r="S20" s="74">
        <f t="shared" si="5"/>
        <v>0</v>
      </c>
      <c r="T20" s="40">
        <f>'Procedures &amp; Inputs'!K84</f>
        <v>0</v>
      </c>
      <c r="U20" s="40">
        <f>'Procedures &amp; Inputs'!L84</f>
        <v>0</v>
      </c>
      <c r="V20" s="75"/>
      <c r="Z20" s="32"/>
      <c r="AA20" s="61">
        <f t="shared" si="6"/>
        <v>8</v>
      </c>
      <c r="AB20" s="62"/>
      <c r="AC20" s="67" t="s">
        <v>66</v>
      </c>
      <c r="AF20" s="3" t="s">
        <v>67</v>
      </c>
      <c r="AG20" s="40">
        <f>'Procedures &amp; Inputs'!F99</f>
        <v>0</v>
      </c>
      <c r="AH20" s="40">
        <f>'Procedures &amp; Inputs'!G99</f>
        <v>0</v>
      </c>
      <c r="AI20" s="40">
        <f>'Procedures &amp; Inputs'!H99</f>
        <v>0</v>
      </c>
      <c r="AJ20" s="40">
        <f>'Procedures &amp; Inputs'!I99</f>
        <v>0</v>
      </c>
      <c r="AK20" s="40">
        <f>'Procedures &amp; Inputs'!J99</f>
        <v>0</v>
      </c>
      <c r="AL20" s="40">
        <f t="shared" si="13"/>
        <v>0</v>
      </c>
      <c r="AM20" s="40">
        <f>'Procedures &amp; Inputs'!M99</f>
        <v>0</v>
      </c>
      <c r="AN20" s="40">
        <f>'Procedures &amp; Inputs'!N99</f>
        <v>0</v>
      </c>
      <c r="AO20" s="40">
        <f>'Procedures &amp; Inputs'!O99</f>
        <v>0</v>
      </c>
      <c r="AP20" s="5"/>
      <c r="AS20" s="65">
        <f t="shared" si="8"/>
        <v>0</v>
      </c>
      <c r="AT20" s="40">
        <f>'Procedures &amp; Inputs'!K99</f>
        <v>0</v>
      </c>
      <c r="AU20" s="40">
        <f>'Procedures &amp; Inputs'!L99</f>
        <v>0</v>
      </c>
      <c r="AZ20" s="32"/>
      <c r="BA20" s="61">
        <f t="shared" si="9"/>
        <v>8</v>
      </c>
      <c r="BB20" s="62"/>
      <c r="BC20" s="67" t="s">
        <v>66</v>
      </c>
      <c r="BF20" s="3" t="s">
        <v>67</v>
      </c>
      <c r="BG20" s="40">
        <f>'Procedures &amp; Inputs'!F114</f>
        <v>0</v>
      </c>
      <c r="BH20" s="40">
        <f>'Procedures &amp; Inputs'!G114</f>
        <v>0</v>
      </c>
      <c r="BI20" s="40">
        <f>'Procedures &amp; Inputs'!H114</f>
        <v>0</v>
      </c>
      <c r="BJ20" s="40">
        <f>'Procedures &amp; Inputs'!I114</f>
        <v>0</v>
      </c>
      <c r="BK20" s="40">
        <f>'Procedures &amp; Inputs'!J114</f>
        <v>0</v>
      </c>
      <c r="BL20" s="40">
        <f t="shared" si="14"/>
        <v>0</v>
      </c>
      <c r="BM20" s="40">
        <f>'Procedures &amp; Inputs'!M114</f>
        <v>0</v>
      </c>
      <c r="BN20" s="40">
        <f>'Procedures &amp; Inputs'!N114</f>
        <v>0</v>
      </c>
      <c r="BO20" s="40">
        <f>'Procedures &amp; Inputs'!O114</f>
        <v>0</v>
      </c>
      <c r="BP20" s="5"/>
      <c r="BS20" s="65">
        <f t="shared" si="11"/>
        <v>0</v>
      </c>
      <c r="BT20" s="40">
        <f>'Procedures &amp; Inputs'!K114</f>
        <v>0</v>
      </c>
      <c r="BU20" s="40">
        <f>'Procedures &amp; Inputs'!L114</f>
        <v>0</v>
      </c>
    </row>
    <row r="21" spans="1:73" x14ac:dyDescent="0.3">
      <c r="A21" s="61">
        <f t="shared" si="3"/>
        <v>9</v>
      </c>
      <c r="B21" s="62"/>
      <c r="C21" s="67" t="s">
        <v>68</v>
      </c>
      <c r="F21" s="3" t="s">
        <v>41</v>
      </c>
      <c r="G21" s="40">
        <f>'Procedures &amp; Inputs'!F85</f>
        <v>287770.12378034816</v>
      </c>
      <c r="H21" s="40">
        <f>'Procedures &amp; Inputs'!G85</f>
        <v>212501.14145386397</v>
      </c>
      <c r="I21" s="40">
        <f>'Procedures &amp; Inputs'!H85</f>
        <v>18509.178932438626</v>
      </c>
      <c r="J21" s="40">
        <f>'Procedures &amp; Inputs'!I85</f>
        <v>478.09110757191365</v>
      </c>
      <c r="K21" s="40">
        <f>'Procedures &amp; Inputs'!J85</f>
        <v>45463.432273516199</v>
      </c>
      <c r="L21" s="40">
        <f t="shared" si="12"/>
        <v>2664.4200100698736</v>
      </c>
      <c r="M21" s="40">
        <f>'Procedures &amp; Inputs'!M85</f>
        <v>1217.0710982788614</v>
      </c>
      <c r="N21" s="40">
        <f>'Procedures &amp; Inputs'!N85</f>
        <v>0</v>
      </c>
      <c r="O21" s="40">
        <f>'Procedures &amp; Inputs'!O85</f>
        <v>6936.7889046087275</v>
      </c>
      <c r="P21" s="5"/>
      <c r="S21" s="74">
        <f t="shared" si="5"/>
        <v>0</v>
      </c>
      <c r="T21" s="40">
        <f>'Procedures &amp; Inputs'!K85</f>
        <v>165.40161269094125</v>
      </c>
      <c r="U21" s="40">
        <f>'Procedures &amp; Inputs'!L85</f>
        <v>2499.0183973789321</v>
      </c>
      <c r="V21" s="75"/>
      <c r="Z21" s="32"/>
      <c r="AA21" s="61">
        <f t="shared" si="6"/>
        <v>9</v>
      </c>
      <c r="AB21" s="62"/>
      <c r="AC21" s="67" t="s">
        <v>68</v>
      </c>
      <c r="AF21" s="3" t="s">
        <v>41</v>
      </c>
      <c r="AG21" s="40">
        <f>'Procedures &amp; Inputs'!F100</f>
        <v>276970.59715665132</v>
      </c>
      <c r="AH21" s="40">
        <f>'Procedures &amp; Inputs'!G100</f>
        <v>203996.11935046516</v>
      </c>
      <c r="AI21" s="40">
        <f>'Procedures &amp; Inputs'!H100</f>
        <v>18146.314561317216</v>
      </c>
      <c r="AJ21" s="40">
        <f>'Procedures &amp; Inputs'!I100</f>
        <v>469.30928009782764</v>
      </c>
      <c r="AK21" s="40">
        <f>'Procedures &amp; Inputs'!J100</f>
        <v>44590.566515241859</v>
      </c>
      <c r="AL21" s="40">
        <f t="shared" si="13"/>
        <v>2639.3983777765243</v>
      </c>
      <c r="AM21" s="40">
        <f>'Procedures &amp; Inputs'!M100</f>
        <v>1189.1683315566911</v>
      </c>
      <c r="AN21" s="40">
        <f>'Procedures &amp; Inputs'!N100</f>
        <v>0</v>
      </c>
      <c r="AO21" s="40">
        <f>'Procedures &amp; Inputs'!O100</f>
        <v>5939.7207401960723</v>
      </c>
      <c r="AP21" s="5"/>
      <c r="AS21" s="65">
        <f t="shared" si="8"/>
        <v>0</v>
      </c>
      <c r="AT21" s="40">
        <f>'Procedures &amp; Inputs'!K100</f>
        <v>164.85563436196179</v>
      </c>
      <c r="AU21" s="40">
        <f>'Procedures &amp; Inputs'!L100</f>
        <v>2474.5427434145627</v>
      </c>
      <c r="AZ21" s="32"/>
      <c r="BA21" s="61">
        <f t="shared" si="9"/>
        <v>9</v>
      </c>
      <c r="BB21" s="62"/>
      <c r="BC21" s="67" t="s">
        <v>68</v>
      </c>
      <c r="BF21" s="3" t="s">
        <v>41</v>
      </c>
      <c r="BG21" s="40">
        <f>'Procedures &amp; Inputs'!F115</f>
        <v>269421.87932433875</v>
      </c>
      <c r="BH21" s="40">
        <f>'Procedures &amp; Inputs'!G115</f>
        <v>199214.9527650059</v>
      </c>
      <c r="BI21" s="40">
        <f>'Procedures &amp; Inputs'!H115</f>
        <v>17630.847055459675</v>
      </c>
      <c r="BJ21" s="40">
        <f>'Procedures &amp; Inputs'!I115</f>
        <v>460.42405361279981</v>
      </c>
      <c r="BK21" s="40">
        <f>'Procedures &amp; Inputs'!J115</f>
        <v>43427.313409784976</v>
      </c>
      <c r="BL21" s="40">
        <f t="shared" si="14"/>
        <v>2588.4991587591749</v>
      </c>
      <c r="BM21" s="40">
        <f>'Procedures &amp; Inputs'!M115</f>
        <v>1157.4221706745363</v>
      </c>
      <c r="BN21" s="40">
        <f>'Procedures &amp; Inputs'!N115</f>
        <v>0</v>
      </c>
      <c r="BO21" s="40">
        <f>'Procedures &amp; Inputs'!O115</f>
        <v>4942.4207110416974</v>
      </c>
      <c r="BP21" s="5"/>
      <c r="BS21" s="65">
        <f t="shared" si="11"/>
        <v>0</v>
      </c>
      <c r="BT21" s="40">
        <f>'Procedures &amp; Inputs'!K115</f>
        <v>163.93437310803006</v>
      </c>
      <c r="BU21" s="40">
        <f>'Procedures &amp; Inputs'!L115</f>
        <v>2424.5647856511446</v>
      </c>
    </row>
    <row r="22" spans="1:73" x14ac:dyDescent="0.3">
      <c r="A22" s="61">
        <f t="shared" si="3"/>
        <v>10</v>
      </c>
      <c r="B22" s="62"/>
      <c r="C22" s="67" t="s">
        <v>69</v>
      </c>
      <c r="F22" s="3" t="s">
        <v>67</v>
      </c>
      <c r="G22" s="40">
        <f>'Procedures &amp; Inputs'!F86</f>
        <v>0</v>
      </c>
      <c r="H22" s="40">
        <f>'Procedures &amp; Inputs'!G86</f>
        <v>0</v>
      </c>
      <c r="I22" s="40">
        <f>'Procedures &amp; Inputs'!H86</f>
        <v>0</v>
      </c>
      <c r="J22" s="40">
        <f>'Procedures &amp; Inputs'!I86</f>
        <v>0</v>
      </c>
      <c r="K22" s="40">
        <f>'Procedures &amp; Inputs'!J86</f>
        <v>0</v>
      </c>
      <c r="L22" s="40">
        <f t="shared" si="12"/>
        <v>0</v>
      </c>
      <c r="M22" s="40">
        <f>'Procedures &amp; Inputs'!M86</f>
        <v>0</v>
      </c>
      <c r="N22" s="40">
        <f>'Procedures &amp; Inputs'!N86</f>
        <v>0</v>
      </c>
      <c r="O22" s="40">
        <f>'Procedures &amp; Inputs'!O86</f>
        <v>0</v>
      </c>
      <c r="P22" s="5"/>
      <c r="S22" s="74">
        <f t="shared" si="5"/>
        <v>0</v>
      </c>
      <c r="T22" s="40">
        <f>'Procedures &amp; Inputs'!K86</f>
        <v>0</v>
      </c>
      <c r="U22" s="40">
        <f>'Procedures &amp; Inputs'!L86</f>
        <v>0</v>
      </c>
      <c r="V22" s="75"/>
      <c r="Z22" s="32"/>
      <c r="AA22" s="61">
        <f t="shared" si="6"/>
        <v>10</v>
      </c>
      <c r="AB22" s="62"/>
      <c r="AC22" s="67" t="s">
        <v>69</v>
      </c>
      <c r="AF22" s="3" t="s">
        <v>67</v>
      </c>
      <c r="AG22" s="40">
        <f>'Procedures &amp; Inputs'!F101</f>
        <v>0</v>
      </c>
      <c r="AH22" s="40">
        <f>'Procedures &amp; Inputs'!G101</f>
        <v>0</v>
      </c>
      <c r="AI22" s="40">
        <f>'Procedures &amp; Inputs'!H101</f>
        <v>0</v>
      </c>
      <c r="AJ22" s="40">
        <f>'Procedures &amp; Inputs'!I101</f>
        <v>0</v>
      </c>
      <c r="AK22" s="40">
        <f>'Procedures &amp; Inputs'!J101</f>
        <v>0</v>
      </c>
      <c r="AL22" s="40">
        <f t="shared" si="13"/>
        <v>0</v>
      </c>
      <c r="AM22" s="40">
        <f>'Procedures &amp; Inputs'!M101</f>
        <v>0</v>
      </c>
      <c r="AN22" s="40">
        <f>'Procedures &amp; Inputs'!N101</f>
        <v>0</v>
      </c>
      <c r="AO22" s="40">
        <f>'Procedures &amp; Inputs'!O101</f>
        <v>0</v>
      </c>
      <c r="AP22" s="5"/>
      <c r="AS22" s="65">
        <f t="shared" si="8"/>
        <v>0</v>
      </c>
      <c r="AT22" s="40">
        <f>'Procedures &amp; Inputs'!K101</f>
        <v>0</v>
      </c>
      <c r="AU22" s="40">
        <f>'Procedures &amp; Inputs'!L101</f>
        <v>0</v>
      </c>
      <c r="AZ22" s="32"/>
      <c r="BA22" s="61">
        <f t="shared" si="9"/>
        <v>10</v>
      </c>
      <c r="BB22" s="62"/>
      <c r="BC22" s="67" t="s">
        <v>69</v>
      </c>
      <c r="BF22" s="3" t="s">
        <v>67</v>
      </c>
      <c r="BG22" s="40">
        <f>'Procedures &amp; Inputs'!F116</f>
        <v>0</v>
      </c>
      <c r="BH22" s="40">
        <f>'Procedures &amp; Inputs'!G116</f>
        <v>0</v>
      </c>
      <c r="BI22" s="40">
        <f>'Procedures &amp; Inputs'!H116</f>
        <v>0</v>
      </c>
      <c r="BJ22" s="40">
        <f>'Procedures &amp; Inputs'!I116</f>
        <v>0</v>
      </c>
      <c r="BK22" s="40">
        <f>'Procedures &amp; Inputs'!J116</f>
        <v>0</v>
      </c>
      <c r="BL22" s="40">
        <f t="shared" si="14"/>
        <v>0</v>
      </c>
      <c r="BM22" s="40">
        <f>'Procedures &amp; Inputs'!M116</f>
        <v>0</v>
      </c>
      <c r="BN22" s="40">
        <f>'Procedures &amp; Inputs'!N116</f>
        <v>0</v>
      </c>
      <c r="BO22" s="40">
        <f>'Procedures &amp; Inputs'!O116</f>
        <v>0</v>
      </c>
      <c r="BP22" s="5"/>
      <c r="BS22" s="65">
        <f t="shared" si="11"/>
        <v>0</v>
      </c>
      <c r="BT22" s="40">
        <f>'Procedures &amp; Inputs'!K116</f>
        <v>0</v>
      </c>
      <c r="BU22" s="40">
        <f>'Procedures &amp; Inputs'!L116</f>
        <v>0</v>
      </c>
    </row>
    <row r="23" spans="1:73" x14ac:dyDescent="0.3">
      <c r="A23" s="61">
        <f t="shared" si="3"/>
        <v>11</v>
      </c>
      <c r="B23" s="62"/>
      <c r="C23" s="67" t="s">
        <v>70</v>
      </c>
      <c r="F23" s="3" t="s">
        <v>67</v>
      </c>
      <c r="G23" s="40">
        <f>'Procedures &amp; Inputs'!F87</f>
        <v>59827.401212048389</v>
      </c>
      <c r="H23" s="40">
        <f>'Procedures &amp; Inputs'!G87</f>
        <v>48709.572765033088</v>
      </c>
      <c r="I23" s="40">
        <f>'Procedures &amp; Inputs'!H87</f>
        <v>3915.321603691461</v>
      </c>
      <c r="J23" s="40">
        <f>'Procedures &amp; Inputs'!I87</f>
        <v>361.03242773899296</v>
      </c>
      <c r="K23" s="40">
        <f>'Procedures &amp; Inputs'!J87</f>
        <v>4925.4891294003546</v>
      </c>
      <c r="L23" s="40">
        <f t="shared" si="12"/>
        <v>500.9280669897916</v>
      </c>
      <c r="M23" s="40">
        <f>'Procedures &amp; Inputs'!M87</f>
        <v>1415.0572191946842</v>
      </c>
      <c r="N23" s="40">
        <f>'Procedures &amp; Inputs'!N87</f>
        <v>0</v>
      </c>
      <c r="O23" s="40">
        <f>'Procedures &amp; Inputs'!O87</f>
        <v>0</v>
      </c>
      <c r="P23" s="5"/>
      <c r="S23" s="74">
        <f t="shared" si="5"/>
        <v>0</v>
      </c>
      <c r="T23" s="40">
        <f>'Procedures &amp; Inputs'!K87</f>
        <v>49.188496621105024</v>
      </c>
      <c r="U23" s="40">
        <f>'Procedures &amp; Inputs'!L87</f>
        <v>451.7395703686866</v>
      </c>
      <c r="V23" s="75"/>
      <c r="Z23" s="32"/>
      <c r="AA23" s="61">
        <f t="shared" si="6"/>
        <v>11</v>
      </c>
      <c r="AB23" s="62"/>
      <c r="AC23" s="67" t="s">
        <v>70</v>
      </c>
      <c r="AF23" s="3" t="s">
        <v>67</v>
      </c>
      <c r="AG23" s="40">
        <f>'Procedures &amp; Inputs'!F102</f>
        <v>57053.776071507265</v>
      </c>
      <c r="AH23" s="40">
        <f>'Procedures &amp; Inputs'!G102</f>
        <v>46303.000258296684</v>
      </c>
      <c r="AI23" s="40">
        <f>'Procedures &amp; Inputs'!H102</f>
        <v>3746.2872991862264</v>
      </c>
      <c r="AJ23" s="40">
        <f>'Procedures &amp; Inputs'!I102</f>
        <v>343.16156106412643</v>
      </c>
      <c r="AK23" s="40">
        <f>'Procedures &amp; Inputs'!J102</f>
        <v>4829.624296678714</v>
      </c>
      <c r="AL23" s="40">
        <f t="shared" si="13"/>
        <v>499.12180060581233</v>
      </c>
      <c r="AM23" s="40">
        <f>'Procedures &amp; Inputs'!M102</f>
        <v>1332.5808556756976</v>
      </c>
      <c r="AN23" s="40">
        <f>'Procedures &amp; Inputs'!N102</f>
        <v>0</v>
      </c>
      <c r="AO23" s="40">
        <f>'Procedures &amp; Inputs'!O102</f>
        <v>0</v>
      </c>
      <c r="AP23" s="5"/>
      <c r="AS23" s="65">
        <f t="shared" si="8"/>
        <v>0</v>
      </c>
      <c r="AT23" s="40">
        <f>'Procedures &amp; Inputs'!K102</f>
        <v>49.026354491875345</v>
      </c>
      <c r="AU23" s="40">
        <f>'Procedures &amp; Inputs'!L102</f>
        <v>450.09544611393699</v>
      </c>
      <c r="AZ23" s="32"/>
      <c r="BA23" s="61">
        <f t="shared" si="9"/>
        <v>11</v>
      </c>
      <c r="BB23" s="62"/>
      <c r="BC23" s="67" t="s">
        <v>70</v>
      </c>
      <c r="BF23" s="3" t="s">
        <v>67</v>
      </c>
      <c r="BG23" s="40">
        <f>'Procedures &amp; Inputs'!F117</f>
        <v>55397.266454084885</v>
      </c>
      <c r="BH23" s="40">
        <f>'Procedures &amp; Inputs'!G117</f>
        <v>44834.439963808567</v>
      </c>
      <c r="BI23" s="40">
        <f>'Procedures &amp; Inputs'!H117</f>
        <v>3651.7287396489201</v>
      </c>
      <c r="BJ23" s="40">
        <f>'Procedures &amp; Inputs'!I117</f>
        <v>332.82480193854127</v>
      </c>
      <c r="BK23" s="40">
        <f>'Procedures &amp; Inputs'!J117</f>
        <v>4800.0615594875135</v>
      </c>
      <c r="BL23" s="40">
        <f t="shared" si="14"/>
        <v>496.65680227792018</v>
      </c>
      <c r="BM23" s="40">
        <f>'Procedures &amp; Inputs'!M117</f>
        <v>1281.5545869234384</v>
      </c>
      <c r="BN23" s="40">
        <f>'Procedures &amp; Inputs'!N117</f>
        <v>0</v>
      </c>
      <c r="BO23" s="40">
        <f>'Procedures &amp; Inputs'!O117</f>
        <v>0</v>
      </c>
      <c r="BP23" s="5"/>
      <c r="BS23" s="65">
        <f t="shared" si="11"/>
        <v>0</v>
      </c>
      <c r="BT23" s="40">
        <f>'Procedures &amp; Inputs'!K117</f>
        <v>48.743088621542604</v>
      </c>
      <c r="BU23" s="40">
        <f>'Procedures &amp; Inputs'!L117</f>
        <v>447.91371365637758</v>
      </c>
    </row>
    <row r="24" spans="1:73" x14ac:dyDescent="0.3">
      <c r="A24" s="61">
        <f t="shared" si="3"/>
        <v>12</v>
      </c>
      <c r="B24" s="62"/>
      <c r="C24" s="67" t="s">
        <v>71</v>
      </c>
      <c r="F24" s="3" t="s">
        <v>67</v>
      </c>
      <c r="G24" s="40">
        <f>'Procedures &amp; Inputs'!F88</f>
        <v>88074.899968912592</v>
      </c>
      <c r="H24" s="40">
        <f>'Procedures &amp; Inputs'!G88</f>
        <v>68513.313054305807</v>
      </c>
      <c r="I24" s="40">
        <f>'Procedures &amp; Inputs'!H88</f>
        <v>7007.9663537936249</v>
      </c>
      <c r="J24" s="40">
        <f>'Procedures &amp; Inputs'!I88</f>
        <v>546.07129713266602</v>
      </c>
      <c r="K24" s="40">
        <f>'Procedures &amp; Inputs'!J88</f>
        <v>8968.7624973255097</v>
      </c>
      <c r="L24" s="40">
        <f t="shared" si="12"/>
        <v>676.82897764331221</v>
      </c>
      <c r="M24" s="40">
        <f>'Procedures &amp; Inputs'!M88</f>
        <v>2361.9577887116816</v>
      </c>
      <c r="N24" s="40">
        <f>'Procedures &amp; Inputs'!N88</f>
        <v>0</v>
      </c>
      <c r="O24" s="40">
        <f>'Procedures &amp; Inputs'!O88</f>
        <v>0</v>
      </c>
      <c r="P24" s="5"/>
      <c r="S24" s="74">
        <f t="shared" si="5"/>
        <v>0</v>
      </c>
      <c r="T24" s="40">
        <f>'Procedures &amp; Inputs'!K88</f>
        <v>69.088390539386822</v>
      </c>
      <c r="U24" s="40">
        <f>'Procedures &amp; Inputs'!L88</f>
        <v>607.74058710392535</v>
      </c>
      <c r="V24" s="75"/>
      <c r="Z24" s="32"/>
      <c r="AA24" s="61">
        <f t="shared" si="6"/>
        <v>12</v>
      </c>
      <c r="AB24" s="62"/>
      <c r="AC24" s="67" t="s">
        <v>71</v>
      </c>
      <c r="AF24" s="3" t="s">
        <v>67</v>
      </c>
      <c r="AG24" s="40">
        <f>'Procedures &amp; Inputs'!F103</f>
        <v>82563.273076879836</v>
      </c>
      <c r="AH24" s="40">
        <f>'Procedures &amp; Inputs'!G103</f>
        <v>64133.007674971734</v>
      </c>
      <c r="AI24" s="40">
        <f>'Procedures &amp; Inputs'!H103</f>
        <v>6582.2096906326733</v>
      </c>
      <c r="AJ24" s="40">
        <f>'Procedures &amp; Inputs'!I103</f>
        <v>512.78087376492738</v>
      </c>
      <c r="AK24" s="40">
        <f>'Procedures &amp; Inputs'!J103</f>
        <v>8481.2660826267529</v>
      </c>
      <c r="AL24" s="40">
        <f t="shared" si="13"/>
        <v>649.09442008705469</v>
      </c>
      <c r="AM24" s="40">
        <f>'Procedures &amp; Inputs'!M103</f>
        <v>2204.9143347967101</v>
      </c>
      <c r="AN24" s="40">
        <f>'Procedures &amp; Inputs'!N103</f>
        <v>0</v>
      </c>
      <c r="AO24" s="40">
        <f>'Procedures &amp; Inputs'!O103</f>
        <v>0</v>
      </c>
      <c r="AP24" s="5"/>
      <c r="AS24" s="65">
        <f t="shared" si="8"/>
        <v>0</v>
      </c>
      <c r="AT24" s="40">
        <f>'Procedures &amp; Inputs'!K103</f>
        <v>66.207034536531808</v>
      </c>
      <c r="AU24" s="40">
        <f>'Procedures &amp; Inputs'!L103</f>
        <v>582.88738555052294</v>
      </c>
      <c r="AZ24" s="32"/>
      <c r="BA24" s="61">
        <f t="shared" si="9"/>
        <v>12</v>
      </c>
      <c r="BB24" s="62"/>
      <c r="BC24" s="67" t="s">
        <v>71</v>
      </c>
      <c r="BF24" s="3" t="s">
        <v>67</v>
      </c>
      <c r="BG24" s="40">
        <f>'Procedures &amp; Inputs'!F118</f>
        <v>77224.390619765414</v>
      </c>
      <c r="BH24" s="40">
        <f>'Procedures &amp; Inputs'!G118</f>
        <v>59892.383908226737</v>
      </c>
      <c r="BI24" s="40">
        <f>'Procedures &amp; Inputs'!H118</f>
        <v>6172.7432589331929</v>
      </c>
      <c r="BJ24" s="40">
        <f>'Procedures &amp; Inputs'!I118</f>
        <v>480.83127285646998</v>
      </c>
      <c r="BK24" s="40">
        <f>'Procedures &amp; Inputs'!J118</f>
        <v>8007.6635526051468</v>
      </c>
      <c r="BL24" s="40">
        <f t="shared" si="14"/>
        <v>615.68648493923786</v>
      </c>
      <c r="BM24" s="40">
        <f>'Procedures &amp; Inputs'!M118</f>
        <v>2055.0821422046415</v>
      </c>
      <c r="BN24" s="40">
        <f>'Procedures &amp; Inputs'!N118</f>
        <v>0</v>
      </c>
      <c r="BO24" s="40">
        <f>'Procedures &amp; Inputs'!O118</f>
        <v>0</v>
      </c>
      <c r="BP24" s="5"/>
      <c r="BS24" s="65">
        <f t="shared" si="11"/>
        <v>0</v>
      </c>
      <c r="BT24" s="40">
        <f>'Procedures &amp; Inputs'!K118</f>
        <v>62.707938053205602</v>
      </c>
      <c r="BU24" s="40">
        <f>'Procedures &amp; Inputs'!L118</f>
        <v>552.97854688603229</v>
      </c>
    </row>
    <row r="25" spans="1:73" x14ac:dyDescent="0.3">
      <c r="A25" s="61">
        <f t="shared" si="3"/>
        <v>13</v>
      </c>
      <c r="B25" s="62"/>
      <c r="C25" s="67" t="s">
        <v>72</v>
      </c>
      <c r="F25" s="3" t="s">
        <v>67</v>
      </c>
      <c r="G25" s="40">
        <f>'Procedures &amp; Inputs'!F89</f>
        <v>484.15416792628986</v>
      </c>
      <c r="H25" s="40">
        <f>'Procedures &amp; Inputs'!G89</f>
        <v>65.44780032496584</v>
      </c>
      <c r="I25" s="40">
        <f>'Procedures &amp; Inputs'!H89</f>
        <v>6.9183746709706719</v>
      </c>
      <c r="J25" s="40">
        <f>'Procedures &amp; Inputs'!I89</f>
        <v>0.31621418947988339</v>
      </c>
      <c r="K25" s="40">
        <f>'Procedures &amp; Inputs'!J89</f>
        <v>22.598545381677496</v>
      </c>
      <c r="L25" s="40">
        <f t="shared" si="12"/>
        <v>388.47066138231287</v>
      </c>
      <c r="M25" s="40">
        <f>'Procedures &amp; Inputs'!M89</f>
        <v>0.40257197688313684</v>
      </c>
      <c r="N25" s="40">
        <f>'Procedures &amp; Inputs'!N89</f>
        <v>0</v>
      </c>
      <c r="O25" s="40">
        <f>'Procedures &amp; Inputs'!O89</f>
        <v>0</v>
      </c>
      <c r="P25" s="5"/>
      <c r="S25" s="74">
        <f t="shared" si="5"/>
        <v>0</v>
      </c>
      <c r="T25" s="40">
        <f>'Procedures &amp; Inputs'!K89</f>
        <v>0.2832211658256345</v>
      </c>
      <c r="U25" s="40">
        <f>'Procedures &amp; Inputs'!L89</f>
        <v>388.18744021648723</v>
      </c>
      <c r="V25" s="75"/>
      <c r="Z25" s="32"/>
      <c r="AA25" s="61">
        <f t="shared" si="6"/>
        <v>13</v>
      </c>
      <c r="AB25" s="62"/>
      <c r="AC25" s="67" t="s">
        <v>72</v>
      </c>
      <c r="AF25" s="3" t="s">
        <v>67</v>
      </c>
      <c r="AG25" s="40">
        <f>'Procedures &amp; Inputs'!F104</f>
        <v>487.76144981702879</v>
      </c>
      <c r="AH25" s="40">
        <f>'Procedures &amp; Inputs'!G104</f>
        <v>67.549799360400897</v>
      </c>
      <c r="AI25" s="40">
        <f>'Procedures &amp; Inputs'!H104</f>
        <v>7.1049248860037864</v>
      </c>
      <c r="AJ25" s="40">
        <f>'Procedures &amp; Inputs'!I104</f>
        <v>0.32467605027920315</v>
      </c>
      <c r="AK25" s="40">
        <f>'Procedures &amp; Inputs'!J104</f>
        <v>23.166785318820011</v>
      </c>
      <c r="AL25" s="40">
        <f t="shared" si="13"/>
        <v>389.20197378838657</v>
      </c>
      <c r="AM25" s="40">
        <f>'Procedures &amp; Inputs'!M104</f>
        <v>0.41329041313833742</v>
      </c>
      <c r="AN25" s="40">
        <f>'Procedures &amp; Inputs'!N104</f>
        <v>0</v>
      </c>
      <c r="AO25" s="40">
        <f>'Procedures &amp; Inputs'!O104</f>
        <v>0</v>
      </c>
      <c r="AP25" s="5"/>
      <c r="AS25" s="65">
        <f t="shared" si="8"/>
        <v>0</v>
      </c>
      <c r="AT25" s="40">
        <f>'Procedures &amp; Inputs'!K104</f>
        <v>0.29214336085933085</v>
      </c>
      <c r="AU25" s="40">
        <f>'Procedures &amp; Inputs'!L104</f>
        <v>388.90983042752725</v>
      </c>
      <c r="AZ25" s="32"/>
      <c r="BA25" s="61">
        <f t="shared" si="9"/>
        <v>13</v>
      </c>
      <c r="BB25" s="62"/>
      <c r="BC25" s="67" t="s">
        <v>72</v>
      </c>
      <c r="BF25" s="3" t="s">
        <v>67</v>
      </c>
      <c r="BG25" s="40">
        <f>'Procedures &amp; Inputs'!F119</f>
        <v>539.22071878817997</v>
      </c>
      <c r="BH25" s="40">
        <f>'Procedures &amp; Inputs'!G119</f>
        <v>74.93417493716386</v>
      </c>
      <c r="BI25" s="40">
        <f>'Procedures &amp; Inputs'!H119</f>
        <v>7.8652830370664377</v>
      </c>
      <c r="BJ25" s="40">
        <f>'Procedures &amp; Inputs'!I119</f>
        <v>0.35946275395019422</v>
      </c>
      <c r="BK25" s="40">
        <f>'Procedures &amp; Inputs'!J119</f>
        <v>25.614766182248008</v>
      </c>
      <c r="BL25" s="40">
        <f t="shared" si="14"/>
        <v>429.98896433813781</v>
      </c>
      <c r="BM25" s="40">
        <f>'Procedures &amp; Inputs'!M119</f>
        <v>0.45806753961360031</v>
      </c>
      <c r="BN25" s="40">
        <f>'Procedures &amp; Inputs'!N119</f>
        <v>0</v>
      </c>
      <c r="BO25" s="40">
        <f>'Procedures &amp; Inputs'!O119</f>
        <v>0</v>
      </c>
      <c r="BP25" s="5"/>
      <c r="BS25" s="65">
        <f t="shared" si="11"/>
        <v>0</v>
      </c>
      <c r="BT25" s="40">
        <f>'Procedures &amp; Inputs'!K119</f>
        <v>0.32062164140477883</v>
      </c>
      <c r="BU25" s="40">
        <f>'Procedures &amp; Inputs'!L119</f>
        <v>429.66834269673302</v>
      </c>
    </row>
    <row r="26" spans="1:73" x14ac:dyDescent="0.3">
      <c r="A26" s="61">
        <f t="shared" si="3"/>
        <v>14</v>
      </c>
      <c r="B26" s="62"/>
      <c r="C26" s="67" t="s">
        <v>73</v>
      </c>
      <c r="F26" s="3" t="s">
        <v>74</v>
      </c>
      <c r="G26" s="40">
        <f>'Procedures &amp; Inputs'!F90</f>
        <v>110880.30097680372</v>
      </c>
      <c r="H26" s="40">
        <f>'Procedures &amp; Inputs'!G90</f>
        <v>0</v>
      </c>
      <c r="I26" s="40">
        <f>'Procedures &amp; Inputs'!H90</f>
        <v>0</v>
      </c>
      <c r="J26" s="40">
        <f>'Procedures &amp; Inputs'!I90</f>
        <v>0</v>
      </c>
      <c r="K26" s="40">
        <f>'Procedures &amp; Inputs'!J90</f>
        <v>0</v>
      </c>
      <c r="L26" s="40">
        <f t="shared" si="12"/>
        <v>0</v>
      </c>
      <c r="M26" s="40">
        <f>'Procedures &amp; Inputs'!M90</f>
        <v>0</v>
      </c>
      <c r="N26" s="40">
        <f>'Procedures &amp; Inputs'!N90</f>
        <v>110880.30097680372</v>
      </c>
      <c r="O26" s="40">
        <f>'Procedures &amp; Inputs'!O90</f>
        <v>0</v>
      </c>
      <c r="P26" s="5"/>
      <c r="S26" s="74">
        <f t="shared" si="5"/>
        <v>0</v>
      </c>
      <c r="T26" s="40">
        <f>'Procedures &amp; Inputs'!K90</f>
        <v>0</v>
      </c>
      <c r="U26" s="40">
        <f>'Procedures &amp; Inputs'!L90</f>
        <v>0</v>
      </c>
      <c r="V26" s="75"/>
      <c r="Z26" s="32"/>
      <c r="AA26" s="61">
        <f t="shared" si="6"/>
        <v>14</v>
      </c>
      <c r="AB26" s="62"/>
      <c r="AC26" s="67" t="s">
        <v>73</v>
      </c>
      <c r="AF26" s="3" t="s">
        <v>74</v>
      </c>
      <c r="AG26" s="40">
        <f>'Procedures &amp; Inputs'!F105</f>
        <v>106876.55068045307</v>
      </c>
      <c r="AH26" s="40">
        <f>'Procedures &amp; Inputs'!G105</f>
        <v>0</v>
      </c>
      <c r="AI26" s="40">
        <f>'Procedures &amp; Inputs'!H105</f>
        <v>0</v>
      </c>
      <c r="AJ26" s="40">
        <f>'Procedures &amp; Inputs'!I105</f>
        <v>0</v>
      </c>
      <c r="AK26" s="40">
        <f>'Procedures &amp; Inputs'!J105</f>
        <v>0</v>
      </c>
      <c r="AL26" s="40">
        <f t="shared" si="13"/>
        <v>0</v>
      </c>
      <c r="AM26" s="40">
        <f>'Procedures &amp; Inputs'!M105</f>
        <v>0</v>
      </c>
      <c r="AN26" s="40">
        <f>'Procedures &amp; Inputs'!N105</f>
        <v>106876.55068045307</v>
      </c>
      <c r="AO26" s="40">
        <f>'Procedures &amp; Inputs'!O105</f>
        <v>0</v>
      </c>
      <c r="AP26" s="5"/>
      <c r="AS26" s="65">
        <f t="shared" si="8"/>
        <v>0</v>
      </c>
      <c r="AT26" s="40">
        <f>'Procedures &amp; Inputs'!K105</f>
        <v>0</v>
      </c>
      <c r="AU26" s="40">
        <f>'Procedures &amp; Inputs'!L105</f>
        <v>0</v>
      </c>
      <c r="AZ26" s="32"/>
      <c r="BA26" s="61">
        <f t="shared" si="9"/>
        <v>14</v>
      </c>
      <c r="BB26" s="62"/>
      <c r="BC26" s="67" t="s">
        <v>73</v>
      </c>
      <c r="BF26" s="3" t="s">
        <v>74</v>
      </c>
      <c r="BG26" s="40">
        <f>'Procedures &amp; Inputs'!F120</f>
        <v>103604.37724549197</v>
      </c>
      <c r="BH26" s="40">
        <f>'Procedures &amp; Inputs'!G120</f>
        <v>0</v>
      </c>
      <c r="BI26" s="40">
        <f>'Procedures &amp; Inputs'!H120</f>
        <v>0</v>
      </c>
      <c r="BJ26" s="40">
        <f>'Procedures &amp; Inputs'!I120</f>
        <v>0</v>
      </c>
      <c r="BK26" s="40">
        <f>'Procedures &amp; Inputs'!J120</f>
        <v>0</v>
      </c>
      <c r="BL26" s="40">
        <f t="shared" si="14"/>
        <v>0</v>
      </c>
      <c r="BM26" s="40">
        <f>'Procedures &amp; Inputs'!M120</f>
        <v>0</v>
      </c>
      <c r="BN26" s="40">
        <f>'Procedures &amp; Inputs'!N120</f>
        <v>103604.37724549197</v>
      </c>
      <c r="BO26" s="40">
        <f>'Procedures &amp; Inputs'!O120</f>
        <v>0</v>
      </c>
      <c r="BP26" s="5"/>
      <c r="BS26" s="65">
        <f t="shared" si="11"/>
        <v>0</v>
      </c>
      <c r="BT26" s="40">
        <f>'Procedures &amp; Inputs'!K120</f>
        <v>0</v>
      </c>
      <c r="BU26" s="40">
        <f>'Procedures &amp; Inputs'!L120</f>
        <v>0</v>
      </c>
    </row>
    <row r="27" spans="1:73" x14ac:dyDescent="0.3">
      <c r="A27" s="61">
        <f t="shared" si="3"/>
        <v>15</v>
      </c>
      <c r="B27" s="62"/>
      <c r="C27" s="67" t="s">
        <v>75</v>
      </c>
      <c r="F27" s="3" t="s">
        <v>67</v>
      </c>
      <c r="G27" s="40">
        <f>'Procedures &amp; Inputs'!F91</f>
        <v>207266.8724862533</v>
      </c>
      <c r="H27" s="40">
        <f>'Procedures &amp; Inputs'!G91</f>
        <v>171951.77270969999</v>
      </c>
      <c r="I27" s="40">
        <f>'Procedures &amp; Inputs'!H91</f>
        <v>13470.48238438587</v>
      </c>
      <c r="J27" s="40">
        <f>'Procedures &amp; Inputs'!I91</f>
        <v>1311.4992677613534</v>
      </c>
      <c r="K27" s="40">
        <f>'Procedures &amp; Inputs'!J91</f>
        <v>13917.17472725138</v>
      </c>
      <c r="L27" s="40">
        <f t="shared" si="12"/>
        <v>1292.2024276149625</v>
      </c>
      <c r="M27" s="40">
        <f>'Procedures &amp; Inputs'!M91</f>
        <v>5323.7409695397319</v>
      </c>
      <c r="N27" s="40">
        <f>'Procedures &amp; Inputs'!N91</f>
        <v>0</v>
      </c>
      <c r="O27" s="40">
        <f>'Procedures &amp; Inputs'!O91</f>
        <v>0</v>
      </c>
      <c r="P27" s="5"/>
      <c r="S27" s="74">
        <f t="shared" si="5"/>
        <v>0</v>
      </c>
      <c r="T27" s="40">
        <f>'Procedures &amp; Inputs'!K91</f>
        <v>126.56049535790756</v>
      </c>
      <c r="U27" s="40">
        <f>'Procedures &amp; Inputs'!L91</f>
        <v>1165.641932257055</v>
      </c>
      <c r="V27" s="75"/>
      <c r="Z27" s="32"/>
      <c r="AA27" s="61">
        <f t="shared" si="6"/>
        <v>15</v>
      </c>
      <c r="AB27" s="62"/>
      <c r="AC27" s="67" t="s">
        <v>75</v>
      </c>
      <c r="AF27" s="3" t="s">
        <v>67</v>
      </c>
      <c r="AG27" s="40">
        <f>'Procedures &amp; Inputs'!F106</f>
        <v>201205.62733096903</v>
      </c>
      <c r="AH27" s="40">
        <f>'Procedures &amp; Inputs'!G106</f>
        <v>166653.66100259178</v>
      </c>
      <c r="AI27" s="40">
        <f>'Procedures &amp; Inputs'!H106</f>
        <v>13119.688310284901</v>
      </c>
      <c r="AJ27" s="40">
        <f>'Procedures &amp; Inputs'!I106</f>
        <v>1275.411694247894</v>
      </c>
      <c r="AK27" s="40">
        <f>'Procedures &amp; Inputs'!J106</f>
        <v>13719.842670452435</v>
      </c>
      <c r="AL27" s="40">
        <f t="shared" si="13"/>
        <v>1290.1455251890295</v>
      </c>
      <c r="AM27" s="40">
        <f>'Procedures &amp; Inputs'!M106</f>
        <v>5146.8781282029831</v>
      </c>
      <c r="AN27" s="40">
        <f>'Procedures &amp; Inputs'!N106</f>
        <v>0</v>
      </c>
      <c r="AO27" s="40">
        <f>'Procedures &amp; Inputs'!O106</f>
        <v>0</v>
      </c>
      <c r="AP27" s="5"/>
      <c r="AS27" s="65">
        <f t="shared" si="8"/>
        <v>0</v>
      </c>
      <c r="AT27" s="40">
        <f>'Procedures &amp; Inputs'!K106</f>
        <v>126.39735400773928</v>
      </c>
      <c r="AU27" s="40">
        <f>'Procedures &amp; Inputs'!L106</f>
        <v>1163.7481711812902</v>
      </c>
      <c r="AZ27" s="32"/>
      <c r="BA27" s="61">
        <f t="shared" si="9"/>
        <v>15</v>
      </c>
      <c r="BB27" s="62"/>
      <c r="BC27" s="67" t="s">
        <v>75</v>
      </c>
      <c r="BF27" s="3" t="s">
        <v>67</v>
      </c>
      <c r="BG27" s="40">
        <f>'Procedures &amp; Inputs'!F121</f>
        <v>198586.46210741164</v>
      </c>
      <c r="BH27" s="40">
        <f>'Procedures &amp; Inputs'!G121</f>
        <v>164186.63972357428</v>
      </c>
      <c r="BI27" s="40">
        <f>'Procedures &amp; Inputs'!H121</f>
        <v>13001.050234581051</v>
      </c>
      <c r="BJ27" s="40">
        <f>'Procedures &amp; Inputs'!I121</f>
        <v>1261.6373273987222</v>
      </c>
      <c r="BK27" s="40">
        <f>'Procedures &amp; Inputs'!J121</f>
        <v>13780.780957437475</v>
      </c>
      <c r="BL27" s="40">
        <f t="shared" si="14"/>
        <v>1296.9248417206034</v>
      </c>
      <c r="BM27" s="40">
        <f>'Procedures &amp; Inputs'!M121</f>
        <v>5059.429022699559</v>
      </c>
      <c r="BN27" s="40">
        <f>'Procedures &amp; Inputs'!N121</f>
        <v>0</v>
      </c>
      <c r="BO27" s="40">
        <f>'Procedures &amp; Inputs'!O121</f>
        <v>0</v>
      </c>
      <c r="BP27" s="5"/>
      <c r="BS27" s="65">
        <f t="shared" si="11"/>
        <v>0</v>
      </c>
      <c r="BT27" s="40">
        <f>'Procedures &amp; Inputs'!K121</f>
        <v>126.95307336135114</v>
      </c>
      <c r="BU27" s="40">
        <f>'Procedures &amp; Inputs'!L121</f>
        <v>1169.9717683592521</v>
      </c>
    </row>
    <row r="28" spans="1:73" x14ac:dyDescent="0.3">
      <c r="A28" s="61">
        <f t="shared" si="3"/>
        <v>16</v>
      </c>
      <c r="B28" s="62"/>
      <c r="C28" s="67" t="s">
        <v>76</v>
      </c>
      <c r="G28" s="76"/>
      <c r="H28" s="76"/>
      <c r="I28" s="76"/>
      <c r="J28" s="76"/>
      <c r="K28" s="76"/>
      <c r="L28" s="76"/>
      <c r="M28" s="76"/>
      <c r="N28" s="76"/>
      <c r="O28" s="76"/>
      <c r="P28" s="5"/>
      <c r="S28" s="74">
        <f t="shared" si="5"/>
        <v>0</v>
      </c>
      <c r="T28" s="76"/>
      <c r="U28" s="76"/>
      <c r="V28" s="76"/>
      <c r="Z28" s="32"/>
      <c r="AA28" s="61">
        <f t="shared" si="6"/>
        <v>16</v>
      </c>
      <c r="AB28" s="62"/>
      <c r="AC28" s="67" t="s">
        <v>76</v>
      </c>
      <c r="AG28" s="76"/>
      <c r="AH28" s="76"/>
      <c r="AI28" s="76"/>
      <c r="AJ28" s="76"/>
      <c r="AK28" s="76"/>
      <c r="AL28" s="76"/>
      <c r="AM28" s="76"/>
      <c r="AN28" s="76"/>
      <c r="AO28" s="76"/>
      <c r="AP28" s="5"/>
      <c r="AS28" s="74">
        <f t="shared" si="8"/>
        <v>0</v>
      </c>
      <c r="AT28" s="76"/>
      <c r="AU28" s="76"/>
      <c r="AZ28" s="32"/>
      <c r="BA28" s="61">
        <f t="shared" si="9"/>
        <v>16</v>
      </c>
      <c r="BB28" s="62"/>
      <c r="BC28" s="67" t="s">
        <v>76</v>
      </c>
      <c r="BG28" s="76"/>
      <c r="BH28" s="76"/>
      <c r="BI28" s="76"/>
      <c r="BJ28" s="76"/>
      <c r="BK28" s="76"/>
      <c r="BL28" s="76"/>
      <c r="BM28" s="76"/>
      <c r="BN28" s="76"/>
      <c r="BO28" s="76"/>
      <c r="BP28" s="5"/>
      <c r="BS28" s="74">
        <f t="shared" si="11"/>
        <v>0</v>
      </c>
      <c r="BT28" s="76"/>
      <c r="BU28" s="76"/>
    </row>
    <row r="29" spans="1:73" ht="14.4" thickBot="1" x14ac:dyDescent="0.35">
      <c r="A29" s="61">
        <f t="shared" si="3"/>
        <v>17</v>
      </c>
      <c r="B29" s="77"/>
      <c r="C29" s="78" t="s">
        <v>77</v>
      </c>
      <c r="D29" s="79"/>
      <c r="E29" s="79"/>
      <c r="F29" s="79"/>
      <c r="G29" s="80">
        <f t="shared" ref="G29:O29" si="15">SUM(G16:G28)</f>
        <v>3581136.9232984181</v>
      </c>
      <c r="H29" s="80">
        <f t="shared" si="15"/>
        <v>2285224.044475059</v>
      </c>
      <c r="I29" s="80">
        <f t="shared" si="15"/>
        <v>206603.66014325971</v>
      </c>
      <c r="J29" s="80">
        <f t="shared" si="15"/>
        <v>12137.465986000792</v>
      </c>
      <c r="K29" s="80">
        <f t="shared" si="15"/>
        <v>821215.8254846608</v>
      </c>
      <c r="L29" s="80">
        <f t="shared" si="15"/>
        <v>117577.2387695045</v>
      </c>
      <c r="M29" s="80">
        <f t="shared" si="15"/>
        <v>20561.597959278377</v>
      </c>
      <c r="N29" s="80">
        <f t="shared" si="15"/>
        <v>110880.30097680372</v>
      </c>
      <c r="O29" s="80">
        <f t="shared" si="15"/>
        <v>6936.7889046087275</v>
      </c>
      <c r="P29" s="5"/>
      <c r="S29" s="81">
        <f t="shared" si="5"/>
        <v>-5.9924228116869926E-4</v>
      </c>
      <c r="T29" s="80">
        <f>SUM(T16:T28)</f>
        <v>9836.4762636273663</v>
      </c>
      <c r="U29" s="80">
        <f>SUM(U16:U28)</f>
        <v>107740.76250587717</v>
      </c>
      <c r="V29" s="82"/>
      <c r="Z29" s="32"/>
      <c r="AA29" s="61">
        <f t="shared" si="6"/>
        <v>17</v>
      </c>
      <c r="AB29" s="77"/>
      <c r="AC29" s="78" t="s">
        <v>77</v>
      </c>
      <c r="AD29" s="79"/>
      <c r="AE29" s="79"/>
      <c r="AF29" s="79"/>
      <c r="AG29" s="80">
        <f t="shared" ref="AG29:AO29" si="16">SUM(AG16:AG28)</f>
        <v>3469181.8258820837</v>
      </c>
      <c r="AH29" s="80">
        <f t="shared" si="16"/>
        <v>2200633.7156507103</v>
      </c>
      <c r="AI29" s="80">
        <f t="shared" si="16"/>
        <v>202524.57754827297</v>
      </c>
      <c r="AJ29" s="80">
        <f t="shared" si="16"/>
        <v>11856.069592147669</v>
      </c>
      <c r="AK29" s="80">
        <f t="shared" si="16"/>
        <v>805733.84186330112</v>
      </c>
      <c r="AL29" s="80">
        <f t="shared" si="16"/>
        <v>115837.16558940307</v>
      </c>
      <c r="AM29" s="80">
        <f t="shared" si="16"/>
        <v>19780.183596162329</v>
      </c>
      <c r="AN29" s="80">
        <f t="shared" si="16"/>
        <v>106876.55068045307</v>
      </c>
      <c r="AO29" s="80">
        <f t="shared" si="16"/>
        <v>5939.7207401960723</v>
      </c>
      <c r="AP29" s="5"/>
      <c r="AS29" s="81">
        <f t="shared" si="8"/>
        <v>-6.2143756076693535E-4</v>
      </c>
      <c r="AT29" s="80">
        <f>SUM(AT16:AT28)</f>
        <v>9687.3351761511603</v>
      </c>
      <c r="AU29" s="80">
        <f>SUM(AU16:AU28)</f>
        <v>106149.8304132519</v>
      </c>
      <c r="AZ29" s="32"/>
      <c r="BA29" s="61">
        <f t="shared" si="9"/>
        <v>17</v>
      </c>
      <c r="BB29" s="77"/>
      <c r="BC29" s="78" t="s">
        <v>77</v>
      </c>
      <c r="BD29" s="79"/>
      <c r="BE29" s="79"/>
      <c r="BF29" s="79"/>
      <c r="BG29" s="80">
        <f t="shared" ref="BG29:BO29" si="17">SUM(BG16:BG28)</f>
        <v>3359765.9354908844</v>
      </c>
      <c r="BH29" s="80">
        <f>SUM(BH16:BH28)</f>
        <v>2136836.4259965327</v>
      </c>
      <c r="BI29" s="80">
        <f t="shared" si="17"/>
        <v>195830.07158566848</v>
      </c>
      <c r="BJ29" s="80">
        <f t="shared" si="17"/>
        <v>11502.807464651596</v>
      </c>
      <c r="BK29" s="80">
        <f t="shared" si="17"/>
        <v>776906.76650204475</v>
      </c>
      <c r="BL29" s="80">
        <f t="shared" si="17"/>
        <v>110989.6140822407</v>
      </c>
      <c r="BM29" s="80">
        <f t="shared" si="17"/>
        <v>19153.451255958873</v>
      </c>
      <c r="BN29" s="80">
        <f t="shared" si="17"/>
        <v>103604.37724549197</v>
      </c>
      <c r="BO29" s="80">
        <f t="shared" si="17"/>
        <v>4942.4207110416974</v>
      </c>
      <c r="BP29" s="5"/>
      <c r="BS29" s="81">
        <f t="shared" si="11"/>
        <v>-6.4725382253527641E-4</v>
      </c>
      <c r="BT29" s="80">
        <f>SUM(BT16:BT28)</f>
        <v>9260.4519768846822</v>
      </c>
      <c r="BU29" s="80">
        <f>SUM(BU16:BU28)</f>
        <v>101729.16210535602</v>
      </c>
    </row>
    <row r="30" spans="1:73" ht="14.4" thickTop="1" x14ac:dyDescent="0.3">
      <c r="A30" s="61">
        <f t="shared" si="3"/>
        <v>18</v>
      </c>
      <c r="B30" s="56"/>
      <c r="C30" s="83" t="s">
        <v>78</v>
      </c>
      <c r="G30" s="84"/>
      <c r="H30" s="85"/>
      <c r="I30" s="86"/>
      <c r="J30" s="86"/>
      <c r="K30" s="86"/>
      <c r="L30" s="86"/>
      <c r="M30" s="86"/>
      <c r="N30" s="86"/>
      <c r="O30" s="87"/>
      <c r="S30" s="88"/>
      <c r="U30" s="86"/>
      <c r="Z30" s="32"/>
      <c r="AA30" s="61">
        <f t="shared" si="6"/>
        <v>18</v>
      </c>
      <c r="AB30" s="56"/>
      <c r="AC30" s="83" t="s">
        <v>78</v>
      </c>
      <c r="AG30" s="84"/>
      <c r="AH30" s="85"/>
      <c r="AI30" s="86"/>
      <c r="AJ30" s="86"/>
      <c r="AK30" s="86"/>
      <c r="AL30" s="86"/>
      <c r="AM30" s="86"/>
      <c r="AN30" s="86"/>
      <c r="AO30" s="87"/>
      <c r="AS30" s="88"/>
      <c r="AU30" s="86"/>
      <c r="AZ30" s="32"/>
      <c r="BA30" s="61">
        <f t="shared" si="9"/>
        <v>18</v>
      </c>
      <c r="BB30" s="56"/>
      <c r="BC30" s="83" t="s">
        <v>78</v>
      </c>
      <c r="BG30" s="84"/>
      <c r="BH30" s="85"/>
      <c r="BI30" s="86"/>
      <c r="BJ30" s="86"/>
      <c r="BK30" s="86"/>
      <c r="BL30" s="86"/>
      <c r="BM30" s="86"/>
      <c r="BN30" s="86"/>
      <c r="BO30" s="87"/>
      <c r="BS30" s="88"/>
      <c r="BU30" s="86"/>
    </row>
    <row r="31" spans="1:73" x14ac:dyDescent="0.3">
      <c r="A31" s="61">
        <f t="shared" si="3"/>
        <v>19</v>
      </c>
      <c r="B31" s="89"/>
      <c r="C31" s="90" t="s">
        <v>79</v>
      </c>
      <c r="G31" s="40"/>
      <c r="H31" s="40"/>
      <c r="I31" s="40"/>
      <c r="J31" s="40"/>
      <c r="K31" s="40"/>
      <c r="L31" s="40"/>
      <c r="M31" s="40"/>
      <c r="N31" s="40"/>
      <c r="O31" s="87"/>
      <c r="R31" s="91" t="s">
        <v>80</v>
      </c>
      <c r="S31" s="65"/>
      <c r="U31" s="40"/>
      <c r="Z31" s="32"/>
      <c r="AA31" s="61">
        <f t="shared" si="6"/>
        <v>19</v>
      </c>
      <c r="AB31" s="89"/>
      <c r="AC31" s="90" t="s">
        <v>79</v>
      </c>
      <c r="AG31" s="40"/>
      <c r="AH31" s="40"/>
      <c r="AI31" s="40"/>
      <c r="AJ31" s="40"/>
      <c r="AK31" s="40"/>
      <c r="AL31" s="40"/>
      <c r="AM31" s="40"/>
      <c r="AN31" s="40"/>
      <c r="AO31" s="87"/>
      <c r="AR31" s="91" t="s">
        <v>80</v>
      </c>
      <c r="AS31" s="65"/>
      <c r="AU31" s="40"/>
      <c r="AZ31" s="32"/>
      <c r="BA31" s="61">
        <f t="shared" si="9"/>
        <v>19</v>
      </c>
      <c r="BB31" s="89"/>
      <c r="BC31" s="90" t="s">
        <v>79</v>
      </c>
      <c r="BG31" s="40"/>
      <c r="BH31" s="40"/>
      <c r="BI31" s="40"/>
      <c r="BJ31" s="40"/>
      <c r="BK31" s="40"/>
      <c r="BL31" s="40"/>
      <c r="BM31" s="40"/>
      <c r="BN31" s="40"/>
      <c r="BO31" s="87"/>
      <c r="BR31" s="91" t="s">
        <v>80</v>
      </c>
      <c r="BS31" s="65"/>
      <c r="BU31" s="40"/>
    </row>
    <row r="32" spans="1:73" x14ac:dyDescent="0.3">
      <c r="A32" s="61">
        <f t="shared" si="3"/>
        <v>20</v>
      </c>
      <c r="B32" s="56"/>
      <c r="C32" s="92" t="s">
        <v>81</v>
      </c>
      <c r="G32" s="40">
        <f>SUM(H32:M32)</f>
        <v>24446369.994377144</v>
      </c>
      <c r="H32" s="40">
        <f>SUMIF('[8]by Rate Code - Yr5'!$A:$A,"RS-1",'[8]by Rate Code - Yr5'!$RB:$RB)</f>
        <v>22064517.351241626</v>
      </c>
      <c r="I32" s="40">
        <f>SUMIF('[8]by Rate Code - Yr5'!$A:$A,"GS-1",'[8]by Rate Code - Yr5'!$RB:$RB)-I33</f>
        <v>1599713.9382797538</v>
      </c>
      <c r="J32" s="40">
        <f>SUMIF('[8]by Rate Code - Yr5'!$A:$A,"GS-2",'[8]by Rate Code - Yr5'!$RB:$RB)-J33</f>
        <v>170541.20372150553</v>
      </c>
      <c r="K32" s="40">
        <f>SUMIF('[8]by Rate Code - Yr5'!$A:$A,"GSD",'[8]by Rate Code - Yr5'!$RB:$RB)
+SUMIF('[8]by Rate Code - Yr5'!$A:$A,"ss-1",'[8]by Rate Code - Yr5'!$RB:$RB)</f>
        <v>596543.619751308</v>
      </c>
      <c r="L32" s="40">
        <f t="shared" ref="L32:L36" si="18">SUM(T32:U32)</f>
        <v>1866.2000531451135</v>
      </c>
      <c r="M32" s="40">
        <f>SUMIF('[8]by Rate Code - Yr5'!$A:$A,"LS",'[8]by Rate Code - Yr5'!$RB:$RB)-M33</f>
        <v>13187.681329806917</v>
      </c>
      <c r="N32" s="40"/>
      <c r="P32" s="5"/>
      <c r="R32" s="93"/>
      <c r="S32" s="65"/>
      <c r="T32" s="40">
        <f>SUMIF('[8]by Rate Code - Yr5'!$A:$A,"CS",'[8]by Rate Code - Yr5'!$RB:$RB)
+SUMIF('[8]by Rate Code - Yr5'!$A:$A,"ss-3",'[8]by Rate Code - Yr5'!$RB:$RB)-T33</f>
        <v>82.914291639411232</v>
      </c>
      <c r="U32" s="40">
        <f>SUMIF('[8]by Rate Code - Yr5'!$A:$A,"IS",'[8]by Rate Code - Yr5'!$RB:$RB)
+SUMIF('[8]by Rate Code - Yr5'!$A:$A,"ss-2",'[8]by Rate Code - Yr5'!$RB:$RB)-U33</f>
        <v>1783.2857615057023</v>
      </c>
      <c r="V32" s="40"/>
      <c r="Z32" s="32"/>
      <c r="AA32" s="61">
        <f t="shared" si="6"/>
        <v>20</v>
      </c>
      <c r="AB32" s="56"/>
      <c r="AC32" s="92" t="s">
        <v>81</v>
      </c>
      <c r="AG32" s="40">
        <f>SUM(AH32:AM32)</f>
        <v>24050731.960120562</v>
      </c>
      <c r="AH32" s="40">
        <f>SUMIF('[8]by Rate Code - Yr4'!$A:$A,"RS-1",'[8]by Rate Code - Yr4'!$RB:$RB)</f>
        <v>21696377.792271525</v>
      </c>
      <c r="AI32" s="40">
        <f>SUMIF('[8]by Rate Code - Yr4'!$A:$A,"GS-1",'[8]by Rate Code - Yr4'!$RB:$RB)-AI33</f>
        <v>1580978.1793711956</v>
      </c>
      <c r="AJ32" s="40">
        <f>SUMIF('[8]by Rate Code - Yr4'!$A:$A,"GS-2",'[8]by Rate Code - Yr4'!$RB:$RB)-AJ33</f>
        <v>168887.72794582756</v>
      </c>
      <c r="AK32" s="40">
        <f>SUMIF('[8]by Rate Code - Yr4'!$A:$A,"GSD",'[8]by Rate Code - Yr4'!$RB:$RB)
+SUMIF('[8]by Rate Code - Yr4'!$A:$A,"ss-1",'[8]by Rate Code - Yr4'!$RB:$RB)</f>
        <v>589625.59573639324</v>
      </c>
      <c r="AL32" s="40">
        <f t="shared" ref="AL32:AL36" si="19">SUM(AT32:AU32)</f>
        <v>1857.2923817585604</v>
      </c>
      <c r="AM32" s="40">
        <f>SUMIF('[8]by Rate Code - Yr4'!$A:$A,"LS",'[8]by Rate Code - Yr4'!$RB:$RB)-AM33</f>
        <v>13005.372413863894</v>
      </c>
      <c r="AN32" s="40"/>
      <c r="AP32" s="5"/>
      <c r="AR32" s="93"/>
      <c r="AS32" s="65"/>
      <c r="AT32" s="40">
        <f>SUMIF('[8]by Rate Code - Yr4'!$A:$A,"CS",'[8]by Rate Code - Yr4'!$RB:$RB)
+SUMIF('[8]by Rate Code - Yr4'!$A:$A,"ss-3",'[8]by Rate Code - Yr4'!$RB:$RB)-AT33</f>
        <v>82.435236240856611</v>
      </c>
      <c r="AU32" s="40">
        <f>SUMIF('[8]by Rate Code - Yr4'!$A:$A,"IS",'[8]by Rate Code - Yr4'!$RB:$RB)
+SUMIF('[8]by Rate Code - Yr4'!$A:$A,"ss-2",'[8]by Rate Code - Yr4'!$RB:$RB)-AU33</f>
        <v>1774.8571455177039</v>
      </c>
      <c r="AZ32" s="32"/>
      <c r="BA32" s="61">
        <f t="shared" si="9"/>
        <v>20</v>
      </c>
      <c r="BB32" s="56"/>
      <c r="BC32" s="92" t="s">
        <v>81</v>
      </c>
      <c r="BG32" s="40">
        <f>SUM(BH32:BM32)</f>
        <v>23648436.207946993</v>
      </c>
      <c r="BH32" s="40">
        <f>SUMIF('[8]by Rate Code - Yr3'!$A:$A,"RS-1",'[8]by Rate Code - Yr3'!$RB:$RB)</f>
        <v>21321603.501903247</v>
      </c>
      <c r="BI32" s="40">
        <f>SUMIF('[8]by Rate Code - Yr3'!$A:$A,"GS-1",'[8]by Rate Code - Yr3'!$RB:$RB)-BI33</f>
        <v>1562182.8826693455</v>
      </c>
      <c r="BJ32" s="40">
        <f>SUMIF('[8]by Rate Code - Yr3'!$A:$A,"GS-2",'[8]by Rate Code - Yr3'!$RB:$RB)-BJ33</f>
        <v>167225.3671961673</v>
      </c>
      <c r="BK32" s="40">
        <f>SUMIF('[8]by Rate Code - Yr3'!$A:$A,"GSD",'[8]by Rate Code - Yr3'!$RB:$RB)
+SUMIF('[8]by Rate Code - Yr3'!$A:$A,"ss-1",'[8]by Rate Code - Yr3'!$RB:$RB)</f>
        <v>582748.74137322244</v>
      </c>
      <c r="BL32" s="40">
        <f t="shared" ref="BL32:BL36" si="20">SUM(BT32:BU32)</f>
        <v>1855.1209680974425</v>
      </c>
      <c r="BM32" s="40">
        <f>SUMIF('[8]by Rate Code - Yr3'!$A:$A,"LS",'[8]by Rate Code - Yr3'!$RB:$RB)-BM33</f>
        <v>12820.593836914864</v>
      </c>
      <c r="BN32" s="40"/>
      <c r="BP32" s="5"/>
      <c r="BR32" s="93"/>
      <c r="BS32" s="65"/>
      <c r="BT32" s="40">
        <f>SUMIF('[8]by Rate Code - Yr3'!$A:$A,"CS",'[8]by Rate Code - Yr3'!$RB:$RB)
+SUMIF('[8]by Rate Code - Yr3'!$A:$A,"ss-3",'[8]by Rate Code - Yr3'!$RB:$RB)-BT33</f>
        <v>82.132299570887</v>
      </c>
      <c r="BU32" s="40">
        <f>SUMIF('[8]by Rate Code - Yr3'!$A:$A,"IS",'[8]by Rate Code - Yr3'!$RB:$RB)
+SUMIF('[8]by Rate Code - Yr3'!$A:$A,"ss-2",'[8]by Rate Code - Yr3'!$RB:$RB)-BU33</f>
        <v>1772.9886685265556</v>
      </c>
    </row>
    <row r="33" spans="1:73" x14ac:dyDescent="0.3">
      <c r="A33" s="61">
        <f t="shared" si="3"/>
        <v>21</v>
      </c>
      <c r="B33" s="56"/>
      <c r="C33" s="94" t="s">
        <v>82</v>
      </c>
      <c r="G33" s="40">
        <f>SUM(H33:M33)</f>
        <v>797544.58085290203</v>
      </c>
      <c r="H33" s="40">
        <f>SUMIFS('[8]by Rate Code - Yr5'!$RB:$RB,'[8]by Rate Code - Yr5'!$A:$A,"RS-1",'[8]by Rate Code - Yr5'!$C:$C,"*UM*")</f>
        <v>0</v>
      </c>
      <c r="I33" s="40">
        <f>SUMIFS('[8]by Rate Code - Yr5'!$RB:$RB,'[8]by Rate Code - Yr5'!$A:$A,"GS-1",'[8]by Rate Code - Yr5'!$C:$C,"*UM*")</f>
        <v>5661.7423939996061</v>
      </c>
      <c r="J33" s="40">
        <f>SUMIFS('[8]by Rate Code - Yr5'!$RB:$RB,'[8]by Rate Code - Yr5'!$A:$A,"GS-2",'[8]by Rate Code - Yr5'!$C:$C,"*UM*")</f>
        <v>10324.644696744759</v>
      </c>
      <c r="K33" s="40">
        <f>SUMIFS('[8]by Rate Code - Yr5'!$RB:$RB,'[8]by Rate Code - Yr5'!$A:$A,"GSD",'[8]by Rate Code - Yr5'!$C:$C,"*UM*")
+SUMIFS('[8]by Rate Code - Yr5'!$RB:$RB,'[8]by Rate Code - Yr5'!$A:$A,"SS-1",'[8]by Rate Code - Yr5'!$C:$C,"*UM*")</f>
        <v>0</v>
      </c>
      <c r="L33" s="40">
        <f t="shared" si="18"/>
        <v>0</v>
      </c>
      <c r="M33" s="40">
        <f>SUMIFS('[8]by Rate Code - Yr5'!$RB:$RB,'[8]by Rate Code - Yr5'!$A:$A,"LS",'[8]by Rate Code - Yr5'!$C:$C,"*U*")</f>
        <v>781558.19376215769</v>
      </c>
      <c r="N33" s="40"/>
      <c r="P33" s="5"/>
      <c r="R33" s="95" t="s">
        <v>83</v>
      </c>
      <c r="S33" s="74">
        <f t="shared" ref="S33:S41" si="21">SUM(H33:N33)-G33</f>
        <v>0</v>
      </c>
      <c r="T33" s="40">
        <f>SUMIFS('[8]by Rate Code - Yr5'!$RB:$RB,'[8]by Rate Code - Yr5'!$A:$A,"CS",'[8]by Rate Code - Yr5'!$C:$C,"*UM*")
+SUMIFS('[8]by Rate Code - Yr5'!$RB:$RB,'[8]by Rate Code - Yr5'!$A:$A,"SS-3",'[8]by Rate Code - Yr5'!$C:$C,"*UM*")</f>
        <v>0</v>
      </c>
      <c r="U33" s="40">
        <f>SUMIFS('[8]by Rate Code - Yr5'!$RB:$RB,'[8]by Rate Code - Yr5'!$A:$A,"IS",'[8]by Rate Code - Yr5'!$C:$C,"*UM*")
+SUMIFS('[8]by Rate Code - Yr5'!$RB:$RB,'[8]by Rate Code - Yr5'!$A:$A,"SS-2",'[8]by Rate Code - Yr5'!$C:$C,"*UM*")</f>
        <v>0</v>
      </c>
      <c r="V33" s="40"/>
      <c r="Z33" s="32"/>
      <c r="AA33" s="61">
        <f t="shared" si="6"/>
        <v>21</v>
      </c>
      <c r="AB33" s="56"/>
      <c r="AC33" s="94" t="s">
        <v>82</v>
      </c>
      <c r="AG33" s="40">
        <f>SUM(AH33:AM33)</f>
        <v>786573.76539347216</v>
      </c>
      <c r="AH33" s="40">
        <f>SUMIFS('[8]by Rate Code - Yr4'!$RB:$RB,'[8]by Rate Code - Yr4'!$A:$A,"RS-1",'[8]by Rate Code - Yr4'!$C:$C,"*UM*")</f>
        <v>0</v>
      </c>
      <c r="AI33" s="40">
        <f>SUMIFS('[8]by Rate Code - Yr4'!$RB:$RB,'[8]by Rate Code - Yr4'!$A:$A,"GS-1",'[8]by Rate Code - Yr4'!$C:$C,"*UM*")</f>
        <v>5595.4323882179406</v>
      </c>
      <c r="AJ33" s="40">
        <f>SUMIFS('[8]by Rate Code - Yr4'!$RB:$RB,'[8]by Rate Code - Yr4'!$A:$A,"GS-2",'[8]by Rate Code - Yr4'!$C:$C,"*UM*")</f>
        <v>10224.542495481846</v>
      </c>
      <c r="AK33" s="40">
        <f>SUMIFS('[8]by Rate Code - Yr4'!$RB:$RB,'[8]by Rate Code - Yr4'!$A:$A,"GSD",'[8]by Rate Code - Yr4'!$C:$C,"*UM*")
+SUMIFS('[8]by Rate Code - Yr4'!$RB:$RB,'[8]by Rate Code - Yr4'!$A:$A,"SS-1",'[8]by Rate Code - Yr4'!$C:$C,"*UM*")</f>
        <v>0</v>
      </c>
      <c r="AL33" s="40">
        <f t="shared" si="19"/>
        <v>0</v>
      </c>
      <c r="AM33" s="40">
        <f>SUMIFS('[8]by Rate Code - Yr4'!$RB:$RB,'[8]by Rate Code - Yr4'!$A:$A,"LS",'[8]by Rate Code - Yr4'!$C:$C,"*U*")</f>
        <v>770753.79050977237</v>
      </c>
      <c r="AN33" s="40"/>
      <c r="AP33" s="5"/>
      <c r="AR33" s="95" t="s">
        <v>83</v>
      </c>
      <c r="AS33" s="74">
        <f>SUM(AH33:AO33)-AG33</f>
        <v>0</v>
      </c>
      <c r="AT33" s="40">
        <f>SUMIFS('[8]by Rate Code - Yr4'!$RB:$RB,'[8]by Rate Code - Yr4'!$A:$A,"CS",'[8]by Rate Code - Yr4'!$C:$C,"*UM*")
+SUMIFS('[8]by Rate Code - Yr4'!$RB:$RB,'[8]by Rate Code - Yr4'!$A:$A,"SS-3",'[8]by Rate Code - Yr4'!$C:$C,"*UM*")</f>
        <v>0</v>
      </c>
      <c r="AU33" s="40">
        <f>SUMIFS('[8]by Rate Code - Yr4'!$RB:$RB,'[8]by Rate Code - Yr4'!$A:$A,"IS",'[8]by Rate Code - Yr4'!$C:$C,"*UM*")
+SUMIFS('[8]by Rate Code - Yr4'!$RB:$RB,'[8]by Rate Code - Yr4'!$A:$A,"SS-2",'[8]by Rate Code - Yr4'!$C:$C,"*UM*")</f>
        <v>0</v>
      </c>
      <c r="AZ33" s="32"/>
      <c r="BA33" s="61">
        <f t="shared" si="9"/>
        <v>21</v>
      </c>
      <c r="BB33" s="56"/>
      <c r="BC33" s="94" t="s">
        <v>82</v>
      </c>
      <c r="BG33" s="40">
        <f>SUM(BH33:BM33)</f>
        <v>775455.83868062519</v>
      </c>
      <c r="BH33" s="40">
        <f>SUMIFS('[8]by Rate Code - Yr3'!$RB:$RB,'[8]by Rate Code - Yr3'!$A:$A,"RS-1",'[8]by Rate Code - Yr3'!$C:$C,"*UM*")</f>
        <v>0</v>
      </c>
      <c r="BI33" s="40">
        <f>SUMIFS('[8]by Rate Code - Yr3'!$RB:$RB,'[8]by Rate Code - Yr3'!$A:$A,"GS-1",'[8]by Rate Code - Yr3'!$C:$C,"*UM*")</f>
        <v>5528.9116649821972</v>
      </c>
      <c r="BJ33" s="40">
        <f>SUMIFS('[8]by Rate Code - Yr3'!$RB:$RB,'[8]by Rate Code - Yr3'!$A:$A,"GS-2",'[8]by Rate Code - Yr3'!$C:$C,"*UM*")</f>
        <v>10123.90239371451</v>
      </c>
      <c r="BK33" s="40">
        <f>SUMIFS('[8]by Rate Code - Yr3'!$RB:$RB,'[8]by Rate Code - Yr3'!$A:$A,"GSD",'[8]by Rate Code - Yr3'!$C:$C,"*UM*")
+SUMIFS('[8]by Rate Code - Yr3'!$RB:$RB,'[8]by Rate Code - Yr3'!$A:$A,"SS-1",'[8]by Rate Code - Yr3'!$C:$C,"*UM*")</f>
        <v>0</v>
      </c>
      <c r="BL33" s="40">
        <f t="shared" si="20"/>
        <v>0</v>
      </c>
      <c r="BM33" s="40">
        <f>SUMIFS('[8]by Rate Code - Yr3'!$RB:$RB,'[8]by Rate Code - Yr3'!$A:$A,"LS",'[8]by Rate Code - Yr3'!$C:$C,"*U*")</f>
        <v>759803.02462192846</v>
      </c>
      <c r="BN33" s="40"/>
      <c r="BP33" s="5"/>
      <c r="BR33" s="95" t="s">
        <v>83</v>
      </c>
      <c r="BS33" s="74">
        <f t="shared" ref="BS33:BS41" si="22">SUM(BH33:BN33)-BG33</f>
        <v>0</v>
      </c>
      <c r="BT33" s="40">
        <f>SUMIFS('[8]by Rate Code - Yr3'!$RB:$RB,'[8]by Rate Code - Yr3'!$A:$A,"CS",'[8]by Rate Code - Yr3'!$C:$C,"*UM*")
+SUMIFS('[8]by Rate Code - Yr3'!$RB:$RB,'[8]by Rate Code - Yr3'!$A:$A,"SS-3",'[8]by Rate Code - Yr3'!$C:$C,"*UM*")</f>
        <v>0</v>
      </c>
      <c r="BU33" s="40">
        <f>SUMIFS('[8]by Rate Code - Yr3'!$RB:$RB,'[8]by Rate Code - Yr3'!$A:$A,"IS",'[8]by Rate Code - Yr3'!$C:$C,"*UM*")
+SUMIFS('[8]by Rate Code - Yr3'!$RB:$RB,'[8]by Rate Code - Yr3'!$A:$A,"SS-2",'[8]by Rate Code - Yr3'!$C:$C,"*UM*")</f>
        <v>0</v>
      </c>
    </row>
    <row r="34" spans="1:73" x14ac:dyDescent="0.3">
      <c r="A34" s="61">
        <f t="shared" si="3"/>
        <v>22</v>
      </c>
      <c r="B34" s="56"/>
      <c r="C34" s="63" t="s">
        <v>84</v>
      </c>
      <c r="G34" s="40">
        <f>SUM(G32:G33)</f>
        <v>25243914.575230047</v>
      </c>
      <c r="H34" s="40">
        <f t="shared" ref="H34:M34" si="23">SUM(H32:H33)</f>
        <v>22064517.351241626</v>
      </c>
      <c r="I34" s="40">
        <f t="shared" si="23"/>
        <v>1605375.6806737534</v>
      </c>
      <c r="J34" s="40">
        <f t="shared" si="23"/>
        <v>180865.8484182503</v>
      </c>
      <c r="K34" s="40">
        <f t="shared" si="23"/>
        <v>596543.619751308</v>
      </c>
      <c r="L34" s="40">
        <f t="shared" si="18"/>
        <v>1866.2000531451135</v>
      </c>
      <c r="M34" s="40">
        <f t="shared" si="23"/>
        <v>794745.87509196461</v>
      </c>
      <c r="N34" s="40"/>
      <c r="P34" s="5"/>
      <c r="R34" s="95"/>
      <c r="S34" s="74">
        <f t="shared" si="21"/>
        <v>0</v>
      </c>
      <c r="T34" s="40">
        <f>SUM(T32:T33)</f>
        <v>82.914291639411232</v>
      </c>
      <c r="U34" s="40">
        <f>SUM(U32:U33)</f>
        <v>1783.2857615057023</v>
      </c>
      <c r="V34" s="40"/>
      <c r="Z34" s="32"/>
      <c r="AA34" s="61">
        <f t="shared" si="6"/>
        <v>22</v>
      </c>
      <c r="AB34" s="56"/>
      <c r="AC34" s="63" t="s">
        <v>84</v>
      </c>
      <c r="AG34" s="40">
        <f>SUM(AG32:AG33)</f>
        <v>24837305.725514036</v>
      </c>
      <c r="AH34" s="40">
        <f t="shared" ref="AH34:AM34" si="24">SUM(AH32:AH33)</f>
        <v>21696377.792271525</v>
      </c>
      <c r="AI34" s="40">
        <f t="shared" si="24"/>
        <v>1586573.6117594135</v>
      </c>
      <c r="AJ34" s="40">
        <f t="shared" si="24"/>
        <v>179112.2704413094</v>
      </c>
      <c r="AK34" s="40">
        <f t="shared" si="24"/>
        <v>589625.59573639324</v>
      </c>
      <c r="AL34" s="40">
        <f t="shared" si="19"/>
        <v>1857.2923817585604</v>
      </c>
      <c r="AM34" s="40">
        <f t="shared" si="24"/>
        <v>783759.16292363626</v>
      </c>
      <c r="AN34" s="40"/>
      <c r="AP34" s="5"/>
      <c r="AR34" s="95"/>
      <c r="AS34" s="74">
        <f t="shared" ref="AS34:AS41" si="25">SUM(AH34:AO34)-AG34</f>
        <v>0</v>
      </c>
      <c r="AT34" s="40">
        <f>SUM(AT32:AT33)</f>
        <v>82.435236240856611</v>
      </c>
      <c r="AU34" s="40">
        <f>SUM(AU32:AU33)</f>
        <v>1774.8571455177039</v>
      </c>
      <c r="AZ34" s="32"/>
      <c r="BA34" s="61">
        <f t="shared" si="9"/>
        <v>22</v>
      </c>
      <c r="BB34" s="56"/>
      <c r="BC34" s="63" t="s">
        <v>84</v>
      </c>
      <c r="BG34" s="40">
        <f>SUM(BG32:BG33)</f>
        <v>24423892.046627618</v>
      </c>
      <c r="BH34" s="40">
        <f t="shared" ref="BH34:BM34" si="26">SUM(BH32:BH33)</f>
        <v>21321603.501903247</v>
      </c>
      <c r="BI34" s="40">
        <f t="shared" si="26"/>
        <v>1567711.7943343276</v>
      </c>
      <c r="BJ34" s="40">
        <f t="shared" si="26"/>
        <v>177349.26958988182</v>
      </c>
      <c r="BK34" s="40">
        <f t="shared" si="26"/>
        <v>582748.74137322244</v>
      </c>
      <c r="BL34" s="40">
        <f t="shared" si="20"/>
        <v>1855.1209680974425</v>
      </c>
      <c r="BM34" s="40">
        <f t="shared" si="26"/>
        <v>772623.61845884332</v>
      </c>
      <c r="BN34" s="40"/>
      <c r="BP34" s="5"/>
      <c r="BR34" s="95"/>
      <c r="BS34" s="74">
        <f t="shared" si="22"/>
        <v>0</v>
      </c>
      <c r="BT34" s="40">
        <f>SUM(BT32:BT33)</f>
        <v>82.132299570887</v>
      </c>
      <c r="BU34" s="40">
        <f>SUM(BU32:BU33)</f>
        <v>1772.9886685265556</v>
      </c>
    </row>
    <row r="35" spans="1:73" x14ac:dyDescent="0.3">
      <c r="A35" s="61">
        <f t="shared" si="3"/>
        <v>23</v>
      </c>
      <c r="B35" s="56"/>
      <c r="C35" s="96" t="s">
        <v>85</v>
      </c>
      <c r="G35" s="40">
        <f>SUM(H35:M35)</f>
        <v>25236247.375391606</v>
      </c>
      <c r="H35" s="40">
        <f>SUMIFS('[8]by Rate Code - Yr5'!$RB:$RB,'[8]by Rate Code - Yr5'!$A:$A,"RS-1",'[8]by Rate Code - Yr5'!$E:$E,"Sec.")</f>
        <v>22064517.351241626</v>
      </c>
      <c r="I35" s="40">
        <f>SUMIFS('[8]by Rate Code - Yr5'!$RB:$RB,'[8]by Rate Code - Yr5'!$A:$A,"GS-1",'[8]by Rate Code - Yr5'!$E:$E,"Sec.")</f>
        <v>1603516.9124654408</v>
      </c>
      <c r="J35" s="40">
        <f>SUMIFS('[8]by Rate Code - Yr5'!$RB:$RB,'[8]by Rate Code - Yr5'!$A:$A,"GS-2",'[8]by Rate Code - Yr5'!$E:$E,"Sec.")</f>
        <v>180865.8484182503</v>
      </c>
      <c r="K35" s="40">
        <f>SUMIFS('[8]by Rate Code - Yr5'!$RB:$RB,'[8]by Rate Code - Yr5'!$A:$A,"GSD",'[8]by Rate Code - Yr5'!$E:$E,"Sec.")
+SUMIFS('[8]by Rate Code - Yr5'!$RB:$RB,'[8]by Rate Code - Yr5'!$A:$A,"SS-1",'[8]by Rate Code - Yr5'!$E:$E,"Sec.")</f>
        <v>591775.00040740962</v>
      </c>
      <c r="L35" s="40">
        <f t="shared" si="18"/>
        <v>826.38776691083899</v>
      </c>
      <c r="M35" s="40">
        <f>SUMIFS('[8]by Rate Code - Yr5'!$RB:$RB,'[8]by Rate Code - Yr5'!$A:$A,"LS",'[8]by Rate Code - Yr5'!$E:$E,"Sec.")</f>
        <v>794745.87509196461</v>
      </c>
      <c r="N35" s="40"/>
      <c r="P35" s="5"/>
      <c r="R35" s="95" t="s">
        <v>86</v>
      </c>
      <c r="S35" s="74">
        <f t="shared" si="21"/>
        <v>0</v>
      </c>
      <c r="T35" s="40">
        <f>SUMIFS('[8]by Rate Code - Yr5'!$RB:$RB,'[8]by Rate Code - Yr5'!$A:$A,"CS",'[8]by Rate Code - Yr5'!$E:$E,"Sec.")
+SUMIFS('[8]by Rate Code - Yr5'!$RB:$RB,'[8]by Rate Code - Yr5'!$A:$A,"SS-3",'[8]by Rate Code - Yr5'!$E:$E,"Sec.")</f>
        <v>6.7868672747482002</v>
      </c>
      <c r="U35" s="40">
        <f>SUMIFS('[8]by Rate Code - Yr5'!$RB:$RB,'[8]by Rate Code - Yr5'!$A:$A,"IS",'[8]by Rate Code - Yr5'!$E:$E,"Sec.")
+SUMIFS('[8]by Rate Code - Yr5'!$RB:$RB,'[8]by Rate Code - Yr5'!$A:$A,"SS-2",'[8]by Rate Code - Yr5'!$E:$E,"Sec.")</f>
        <v>819.60089963609084</v>
      </c>
      <c r="V35" s="40"/>
      <c r="Z35" s="32"/>
      <c r="AA35" s="61">
        <f t="shared" si="6"/>
        <v>23</v>
      </c>
      <c r="AB35" s="56"/>
      <c r="AC35" s="96" t="s">
        <v>85</v>
      </c>
      <c r="AG35" s="40">
        <f>SUM(AH35:AM35)</f>
        <v>24829719.852729637</v>
      </c>
      <c r="AH35" s="40">
        <f>SUMIFS('[8]by Rate Code - Yr4'!$RB:$RB,'[8]by Rate Code - Yr4'!$A:$A,"RS-1",'[8]by Rate Code - Yr4'!$E:$E,"Sec.")</f>
        <v>21696377.792271525</v>
      </c>
      <c r="AI35" s="40">
        <f>SUMIFS('[8]by Rate Code - Yr4'!$RB:$RB,'[8]by Rate Code - Yr4'!$A:$A,"GS-1",'[8]by Rate Code - Yr4'!$E:$E,"Sec.")</f>
        <v>1584736.6133389268</v>
      </c>
      <c r="AJ35" s="40">
        <f>SUMIFS('[8]by Rate Code - Yr4'!$RB:$RB,'[8]by Rate Code - Yr4'!$A:$A,"GS-2",'[8]by Rate Code - Yr4'!$E:$E,"Sec.")</f>
        <v>179112.2704413094</v>
      </c>
      <c r="AK35" s="40">
        <f>SUMIFS('[8]by Rate Code - Yr4'!$RB:$RB,'[8]by Rate Code - Yr4'!$A:$A,"GSD",'[8]by Rate Code - Yr4'!$E:$E,"Sec.")
+SUMIFS('[8]by Rate Code - Yr4'!$RB:$RB,'[8]by Rate Code - Yr4'!$A:$A,"SS-1",'[8]by Rate Code - Yr4'!$E:$E,"Sec.")</f>
        <v>584911.60764496028</v>
      </c>
      <c r="AL35" s="40">
        <f t="shared" si="19"/>
        <v>822.40610928060755</v>
      </c>
      <c r="AM35" s="40">
        <f>SUMIFS('[8]by Rate Code - Yr4'!$RB:$RB,'[8]by Rate Code - Yr4'!$A:$A,"LS",'[8]by Rate Code - Yr4'!$E:$E,"Sec.")</f>
        <v>783759.16292363626</v>
      </c>
      <c r="AN35" s="40"/>
      <c r="AP35" s="5"/>
      <c r="AR35" s="95" t="s">
        <v>86</v>
      </c>
      <c r="AS35" s="74">
        <f t="shared" si="25"/>
        <v>0</v>
      </c>
      <c r="AT35" s="40">
        <f>SUMIFS('[8]by Rate Code - Yr4'!$RB:$RB,'[8]by Rate Code - Yr4'!$A:$A,"CS",'[8]by Rate Code - Yr4'!$E:$E,"Sec.")
+SUMIFS('[8]by Rate Code - Yr4'!$RB:$RB,'[8]by Rate Code - Yr4'!$A:$A,"SS-3",'[8]by Rate Code - Yr4'!$E:$E,"Sec.")</f>
        <v>6.7393666844344846</v>
      </c>
      <c r="AU35" s="40">
        <f>SUMIFS('[8]by Rate Code - Yr4'!$RB:$RB,'[8]by Rate Code - Yr4'!$A:$A,"IS",'[8]by Rate Code - Yr4'!$E:$E,"Sec.")
+SUMIFS('[8]by Rate Code - Yr4'!$RB:$RB,'[8]by Rate Code - Yr4'!$A:$A,"SS-2",'[8]by Rate Code - Yr4'!$E:$E,"Sec.")</f>
        <v>815.66674259617309</v>
      </c>
      <c r="AZ35" s="32"/>
      <c r="BA35" s="61">
        <f t="shared" si="9"/>
        <v>23</v>
      </c>
      <c r="BB35" s="56"/>
      <c r="BC35" s="96" t="s">
        <v>85</v>
      </c>
      <c r="BG35" s="40">
        <f>SUM(BH35:BM35)</f>
        <v>24416383.324846037</v>
      </c>
      <c r="BH35" s="40">
        <f>SUMIFS('[8]by Rate Code - Yr3'!$RB:$RB,'[8]by Rate Code - Yr3'!$A:$A,"RS-1",'[8]by Rate Code - Yr3'!$E:$E,"Sec.")</f>
        <v>21321603.501903247</v>
      </c>
      <c r="BI35" s="40">
        <f>SUMIFS('[8]by Rate Code - Yr3'!$RB:$RB,'[8]by Rate Code - Yr3'!$A:$A,"GS-1",'[8]by Rate Code - Yr3'!$E:$E,"Sec.")</f>
        <v>1565896.6348808827</v>
      </c>
      <c r="BJ35" s="40">
        <f>SUMIFS('[8]by Rate Code - Yr3'!$RB:$RB,'[8]by Rate Code - Yr3'!$A:$A,"GS-2",'[8]by Rate Code - Yr3'!$E:$E,"Sec.")</f>
        <v>177349.26958988182</v>
      </c>
      <c r="BK35" s="40">
        <f>SUMIFS('[8]by Rate Code - Yr3'!$RB:$RB,'[8]by Rate Code - Yr3'!$A:$A,"GSD",'[8]by Rate Code - Yr3'!$E:$E,"Sec.")
+SUMIFS('[8]by Rate Code - Yr3'!$RB:$RB,'[8]by Rate Code - Yr3'!$A:$A,"SS-1",'[8]by Rate Code - Yr3'!$E:$E,"Sec.")</f>
        <v>578088.90892234002</v>
      </c>
      <c r="BL35" s="40">
        <f t="shared" si="20"/>
        <v>821.39109083915196</v>
      </c>
      <c r="BM35" s="40">
        <f>SUMIFS('[8]by Rate Code - Yr3'!$RB:$RB,'[8]by Rate Code - Yr3'!$A:$A,"LS",'[8]by Rate Code - Yr3'!$E:$E,"Sec.")</f>
        <v>772623.61845884332</v>
      </c>
      <c r="BN35" s="40"/>
      <c r="BP35" s="5"/>
      <c r="BR35" s="95" t="s">
        <v>86</v>
      </c>
      <c r="BS35" s="74">
        <f>SUM(BH35:BN35)-BG35</f>
        <v>0</v>
      </c>
      <c r="BT35" s="40">
        <f>SUMIFS('[8]by Rate Code - Yr3'!$RB:$RB,'[8]by Rate Code - Yr3'!$A:$A,"CS",'[8]by Rate Code - Yr3'!$E:$E,"Sec.")
+SUMIFS('[8]by Rate Code - Yr3'!$RB:$RB,'[8]by Rate Code - Yr3'!$A:$A,"SS-3",'[8]by Rate Code - Yr3'!$E:$E,"Sec.")</f>
        <v>6.6997861905054945</v>
      </c>
      <c r="BU35" s="40">
        <f>SUMIFS('[8]by Rate Code - Yr3'!$RB:$RB,'[8]by Rate Code - Yr3'!$A:$A,"IS",'[8]by Rate Code - Yr3'!$E:$E,"Sec.")
+SUMIFS('[8]by Rate Code - Yr3'!$RB:$RB,'[8]by Rate Code - Yr3'!$A:$A,"SS-2",'[8]by Rate Code - Yr3'!$E:$E,"Sec.")</f>
        <v>814.69130464864645</v>
      </c>
    </row>
    <row r="36" spans="1:73" x14ac:dyDescent="0.3">
      <c r="A36" s="61">
        <f t="shared" si="3"/>
        <v>24</v>
      </c>
      <c r="B36" s="56"/>
      <c r="C36" s="96" t="s">
        <v>87</v>
      </c>
      <c r="G36" s="40">
        <f>L36</f>
        <v>1854.7695156660586</v>
      </c>
      <c r="H36" s="40"/>
      <c r="I36" s="40"/>
      <c r="J36" s="40"/>
      <c r="K36" s="40"/>
      <c r="L36" s="40">
        <f t="shared" si="18"/>
        <v>1854.7695156660586</v>
      </c>
      <c r="M36" s="40"/>
      <c r="N36" s="40"/>
      <c r="P36" s="5"/>
      <c r="R36" s="95"/>
      <c r="S36" s="74">
        <f t="shared" si="21"/>
        <v>0</v>
      </c>
      <c r="T36" s="40">
        <f>'[8]E13c - Yr5'!$AD$321
+'[8]E13c - Yr5'!$D$739</f>
        <v>81.981280022525112</v>
      </c>
      <c r="U36" s="40">
        <f>'[8]E13c - Yr5'!$AD$440
+'[8]E13c - Yr5'!$D$679</f>
        <v>1772.7882356435334</v>
      </c>
      <c r="V36" s="40"/>
      <c r="Z36" s="32"/>
      <c r="AA36" s="61">
        <f t="shared" si="6"/>
        <v>24</v>
      </c>
      <c r="AB36" s="56"/>
      <c r="AC36" s="96" t="s">
        <v>87</v>
      </c>
      <c r="AG36" s="40">
        <f>SUM(AH36:AM36)</f>
        <v>1854.7826574218902</v>
      </c>
      <c r="AH36" s="40"/>
      <c r="AI36" s="40"/>
      <c r="AJ36" s="40"/>
      <c r="AK36" s="40"/>
      <c r="AL36" s="40">
        <f t="shared" si="19"/>
        <v>1854.7826574218902</v>
      </c>
      <c r="AM36" s="40"/>
      <c r="AN36" s="40"/>
      <c r="AP36" s="5"/>
      <c r="AR36" s="95"/>
      <c r="AS36" s="74">
        <f>SUM(AH36:AO36)-AG36</f>
        <v>0</v>
      </c>
      <c r="AT36" s="40">
        <f>'[8]E13c - Yr4'!$AD$321
+'[8]E13c - Yr4'!$D$739</f>
        <v>82.011159520188841</v>
      </c>
      <c r="AU36" s="40">
        <f>'[8]E13c - Yr4'!$AD$440
+'[8]E13c - Yr4'!$D$679</f>
        <v>1772.7714979017014</v>
      </c>
      <c r="AZ36" s="32"/>
      <c r="BA36" s="61">
        <f t="shared" si="9"/>
        <v>24</v>
      </c>
      <c r="BB36" s="56"/>
      <c r="BC36" s="96" t="s">
        <v>87</v>
      </c>
      <c r="BG36" s="40">
        <f>SUM(BH36:BM36)</f>
        <v>1855.1209680974425</v>
      </c>
      <c r="BH36" s="40"/>
      <c r="BI36" s="40"/>
      <c r="BJ36" s="40"/>
      <c r="BK36" s="40"/>
      <c r="BL36" s="40">
        <f t="shared" si="20"/>
        <v>1855.1209680974425</v>
      </c>
      <c r="BM36" s="40"/>
      <c r="BN36" s="40"/>
      <c r="BP36" s="5"/>
      <c r="BR36" s="95"/>
      <c r="BS36" s="74">
        <f t="shared" si="22"/>
        <v>0</v>
      </c>
      <c r="BT36" s="40">
        <f>'[8]E13c - Yr3'!$AD$321
+'[8]E13c - Yr3'!$D$739</f>
        <v>82.132299570887</v>
      </c>
      <c r="BU36" s="40">
        <f>'[8]E13c - Yr3'!$AD$440
+'[8]E13c - Yr3'!$D$679</f>
        <v>1772.9886685265556</v>
      </c>
    </row>
    <row r="37" spans="1:73" x14ac:dyDescent="0.3">
      <c r="A37" s="61">
        <f t="shared" si="3"/>
        <v>25</v>
      </c>
      <c r="B37" s="56"/>
      <c r="C37" s="90" t="s">
        <v>88</v>
      </c>
      <c r="G37" s="40"/>
      <c r="H37" s="40"/>
      <c r="I37" s="40"/>
      <c r="J37" s="40"/>
      <c r="K37" s="40"/>
      <c r="L37" s="40"/>
      <c r="M37" s="40"/>
      <c r="N37" s="40"/>
      <c r="R37" s="95"/>
      <c r="S37" s="74">
        <f t="shared" si="21"/>
        <v>0</v>
      </c>
      <c r="T37" s="40"/>
      <c r="U37" s="40"/>
      <c r="Z37" s="32"/>
      <c r="AA37" s="61">
        <f t="shared" si="6"/>
        <v>25</v>
      </c>
      <c r="AB37" s="56"/>
      <c r="AC37" s="90" t="s">
        <v>88</v>
      </c>
      <c r="AG37" s="40"/>
      <c r="AH37" s="40"/>
      <c r="AI37" s="40"/>
      <c r="AJ37" s="40"/>
      <c r="AK37" s="40"/>
      <c r="AL37" s="40"/>
      <c r="AM37" s="40"/>
      <c r="AN37" s="40"/>
      <c r="AR37" s="95"/>
      <c r="AS37" s="74">
        <f t="shared" si="25"/>
        <v>0</v>
      </c>
      <c r="AT37" s="40"/>
      <c r="AU37" s="40"/>
      <c r="AZ37" s="32"/>
      <c r="BA37" s="61">
        <f t="shared" si="9"/>
        <v>25</v>
      </c>
      <c r="BB37" s="56"/>
      <c r="BC37" s="90" t="s">
        <v>88</v>
      </c>
      <c r="BG37" s="40"/>
      <c r="BH37" s="40"/>
      <c r="BI37" s="40"/>
      <c r="BJ37" s="40"/>
      <c r="BK37" s="40"/>
      <c r="BL37" s="40"/>
      <c r="BM37" s="40"/>
      <c r="BN37" s="40"/>
      <c r="BR37" s="95"/>
      <c r="BS37" s="74">
        <f t="shared" si="22"/>
        <v>0</v>
      </c>
      <c r="BT37" s="40"/>
      <c r="BU37" s="40"/>
    </row>
    <row r="38" spans="1:73" x14ac:dyDescent="0.3">
      <c r="A38" s="61">
        <f t="shared" si="3"/>
        <v>26</v>
      </c>
      <c r="B38" s="56"/>
      <c r="C38" s="96" t="s">
        <v>89</v>
      </c>
      <c r="G38" s="40">
        <f>SUM(H38:N38)</f>
        <v>39894359.599828959</v>
      </c>
      <c r="H38" s="40">
        <f>+'E-6a (8-10)'!L14</f>
        <v>20982468.502792321</v>
      </c>
      <c r="I38" s="40">
        <f>+'E-6a (8-10)'!L20</f>
        <v>2219055.273830398</v>
      </c>
      <c r="J38" s="40">
        <f>+'E-6a (8-10)'!L21</f>
        <v>209993.41425404578</v>
      </c>
      <c r="K38" s="40">
        <f>+'E-6a (8-10)'!L28+'E-6a (8-10)'!L46</f>
        <v>13340883.857992882</v>
      </c>
      <c r="L38" s="40">
        <f>SUM(T38:U38)</f>
        <v>2805934.7771822871</v>
      </c>
      <c r="M38" s="40">
        <f>+'E-6a (8-10)'!L56</f>
        <v>336023.77377702371</v>
      </c>
      <c r="N38" s="40"/>
      <c r="R38" s="95"/>
      <c r="S38" s="74">
        <f t="shared" si="21"/>
        <v>0</v>
      </c>
      <c r="T38" s="40">
        <f>+'E-6a (8-10)'!$L$33+'E-6a (8-10)'!$L$55</f>
        <v>207882.06707512864</v>
      </c>
      <c r="U38" s="40">
        <f>'E-6a (8-10)'!$L$41+'E-6a (8-10)'!$L$51</f>
        <v>2598052.7101071584</v>
      </c>
      <c r="V38" s="40"/>
      <c r="Z38" s="32"/>
      <c r="AA38" s="61">
        <f t="shared" si="6"/>
        <v>26</v>
      </c>
      <c r="AB38" s="56"/>
      <c r="AC38" s="96" t="s">
        <v>89</v>
      </c>
      <c r="AG38" s="40">
        <f>SUM(AH38:AN38)</f>
        <v>39863723.509141445</v>
      </c>
      <c r="AH38" s="40">
        <f>+'E-6a (8-10)'!AL14</f>
        <v>21036571.744844668</v>
      </c>
      <c r="AI38" s="40">
        <f>+'E-6a (8-10)'!AL20</f>
        <v>2207981.4668647805</v>
      </c>
      <c r="AJ38" s="40">
        <f>+'E-6a (8-10)'!AL21</f>
        <v>209117.90872189892</v>
      </c>
      <c r="AK38" s="40">
        <f>+'E-6a (8-10)'!AL28+'E-6a (8-10)'!AL46</f>
        <v>13274257.005823161</v>
      </c>
      <c r="AL38" s="40">
        <f>SUM(AT38:AU38)</f>
        <v>2801462.3261003816</v>
      </c>
      <c r="AM38" s="40">
        <f>+'E-6a (8-10)'!AL56</f>
        <v>334333.05678655772</v>
      </c>
      <c r="AN38" s="40"/>
      <c r="AR38" s="95"/>
      <c r="AS38" s="74">
        <f t="shared" si="25"/>
        <v>0</v>
      </c>
      <c r="AT38" s="40">
        <f>+'E-6a (8-10)'!$AL$33+'E-6a (8-10)'!$AL$55</f>
        <v>207490.80452770827</v>
      </c>
      <c r="AU38" s="40">
        <f>'E-6a (8-10)'!$AL$41+'E-6a (8-10)'!$AL$51</f>
        <v>2593971.5215726732</v>
      </c>
      <c r="AZ38" s="32"/>
      <c r="BA38" s="61">
        <f t="shared" si="9"/>
        <v>26</v>
      </c>
      <c r="BB38" s="56"/>
      <c r="BC38" s="96" t="s">
        <v>89</v>
      </c>
      <c r="BG38" s="40">
        <f>SUM(BH38:BN38)</f>
        <v>39736636.226172522</v>
      </c>
      <c r="BH38" s="40">
        <f>+'E-6a (8-10)'!BL14</f>
        <v>21024272.36356286</v>
      </c>
      <c r="BI38" s="40">
        <f>+'E-6a (8-10)'!BL20</f>
        <v>2198186.991346309</v>
      </c>
      <c r="BJ38" s="40">
        <f>+'E-6a (8-10)'!BL21</f>
        <v>208497.37725828003</v>
      </c>
      <c r="BK38" s="40">
        <f>+'E-6a (8-10)'!BL28+'E-6a (8-10)'!BL46</f>
        <v>13207897.222804066</v>
      </c>
      <c r="BL38" s="40">
        <f>SUM(BT38:BU38)</f>
        <v>2764363.9216736145</v>
      </c>
      <c r="BM38" s="40">
        <f>+'E-6a (8-10)'!BL56</f>
        <v>333418.34952740377</v>
      </c>
      <c r="BN38" s="40"/>
      <c r="BR38" s="95"/>
      <c r="BS38" s="74">
        <f t="shared" si="22"/>
        <v>0</v>
      </c>
      <c r="BT38" s="40">
        <f>+'E-6a (8-10)'!BL33+'E-6a (8-10)'!BL55</f>
        <v>204487.1387846469</v>
      </c>
      <c r="BU38" s="40">
        <f>'E-6a (8-10)'!$BL$41+'E-6a (8-10)'!$BL$51</f>
        <v>2559876.7828889675</v>
      </c>
    </row>
    <row r="39" spans="1:73" x14ac:dyDescent="0.3">
      <c r="A39" s="61">
        <f t="shared" si="3"/>
        <v>27</v>
      </c>
      <c r="B39" s="56"/>
      <c r="C39" s="96" t="s">
        <v>90</v>
      </c>
      <c r="G39" s="40">
        <f>SUM(H39:N39)</f>
        <v>38171122.491859563</v>
      </c>
      <c r="H39" s="40">
        <f>+'E-6a (8-10)'!N14</f>
        <v>20982468.502792321</v>
      </c>
      <c r="I39" s="40">
        <f>+'E-6a (8-10)'!N20</f>
        <v>2215892.8297260012</v>
      </c>
      <c r="J39" s="40">
        <f>+'E-6a (8-10)'!N21</f>
        <v>209993.41425404578</v>
      </c>
      <c r="K39" s="40">
        <f>+'E-6a (8-10)'!N28+'E-6a (8-10)'!N46</f>
        <v>12852249.764427604</v>
      </c>
      <c r="L39" s="40">
        <f>SUM(T39:U39)</f>
        <v>1574494.2068825639</v>
      </c>
      <c r="M39" s="40">
        <f>+'E-6a (8-10)'!N56</f>
        <v>336023.77377702371</v>
      </c>
      <c r="N39" s="40"/>
      <c r="R39" s="95"/>
      <c r="S39" s="74">
        <f t="shared" si="21"/>
        <v>0</v>
      </c>
      <c r="T39" s="40">
        <f>+'E-6a (8-10)'!$N$33+'E-6a (8-10)'!$N$55</f>
        <v>207882.06707512864</v>
      </c>
      <c r="U39" s="40">
        <f>'E-6a (8-10)'!$N$41+'E-6a (8-10)'!$N$51</f>
        <v>1366612.1398074352</v>
      </c>
      <c r="V39" s="40"/>
      <c r="Z39" s="32"/>
      <c r="AA39" s="61">
        <f t="shared" si="6"/>
        <v>27</v>
      </c>
      <c r="AB39" s="56"/>
      <c r="AC39" s="96" t="s">
        <v>90</v>
      </c>
      <c r="AG39" s="40">
        <f>SUM(AH39:AN39)</f>
        <v>38144668.584195964</v>
      </c>
      <c r="AH39" s="40">
        <f>+'E-6a (8-10)'!AN14</f>
        <v>21036571.744844668</v>
      </c>
      <c r="AI39" s="40">
        <f>+'E-6a (8-10)'!AN20</f>
        <v>2204837.4846280855</v>
      </c>
      <c r="AJ39" s="40">
        <f>+'E-6a (8-10)'!AN21</f>
        <v>209117.90872189892</v>
      </c>
      <c r="AK39" s="40">
        <f>+'E-6a (8-10)'!AN28+'E-6a (8-10)'!AN46</f>
        <v>12787713.975054976</v>
      </c>
      <c r="AL39" s="40">
        <f>SUM(AT39:AU39)</f>
        <v>1572094.4141597743</v>
      </c>
      <c r="AM39" s="40">
        <f>+'E-6a (8-10)'!AN56</f>
        <v>334333.05678655772</v>
      </c>
      <c r="AN39" s="40"/>
      <c r="AR39" s="95"/>
      <c r="AS39" s="74">
        <f t="shared" si="25"/>
        <v>0</v>
      </c>
      <c r="AT39" s="40">
        <f>+'E-6a (8-10)'!$AN$33+'E-6a (8-10)'!$AN$55</f>
        <v>207490.80452770827</v>
      </c>
      <c r="AU39" s="40">
        <f>'E-6a (8-10)'!$AN$41+'E-6a (8-10)'!$AN$51</f>
        <v>1364603.609632066</v>
      </c>
      <c r="AZ39" s="32"/>
      <c r="BA39" s="61">
        <f t="shared" si="9"/>
        <v>27</v>
      </c>
      <c r="BB39" s="56"/>
      <c r="BC39" s="96" t="s">
        <v>90</v>
      </c>
      <c r="BG39" s="40">
        <f>SUM(BH39:BN39)</f>
        <v>38037500.412421934</v>
      </c>
      <c r="BH39" s="40">
        <f>+'E-6a (8-10)'!BN14</f>
        <v>21024272.36356286</v>
      </c>
      <c r="BI39" s="40">
        <f>+'E-6a (8-10)'!BN20</f>
        <v>2195056.3043123526</v>
      </c>
      <c r="BJ39" s="40">
        <f>+'E-6a (8-10)'!BN21</f>
        <v>208497.37725828003</v>
      </c>
      <c r="BK39" s="40">
        <f>+'E-6a (8-10)'!BN28+'E-6a (8-10)'!BN46</f>
        <v>12725002.709674085</v>
      </c>
      <c r="BL39" s="40">
        <f>SUM(BT39:BU39)</f>
        <v>1551253.3080869552</v>
      </c>
      <c r="BM39" s="40">
        <f>+'E-6a (8-10)'!BN56</f>
        <v>333418.34952740377</v>
      </c>
      <c r="BN39" s="40"/>
      <c r="BR39" s="95"/>
      <c r="BS39" s="74">
        <f t="shared" si="22"/>
        <v>0</v>
      </c>
      <c r="BT39" s="40">
        <f>+'E-6a (8-10)'!BN33+'E-6a (8-10)'!BN55</f>
        <v>204487.1387846469</v>
      </c>
      <c r="BU39" s="40">
        <f>'E-6a (8-10)'!$BN$41+'E-6a (8-10)'!$BN$51</f>
        <v>1346766.1693023082</v>
      </c>
    </row>
    <row r="40" spans="1:73" x14ac:dyDescent="0.3">
      <c r="A40" s="61">
        <f t="shared" si="3"/>
        <v>28</v>
      </c>
      <c r="B40" s="56"/>
      <c r="C40" s="96" t="s">
        <v>91</v>
      </c>
      <c r="G40" s="40">
        <f>SUM(H40:N40)</f>
        <v>35128291.166675448</v>
      </c>
      <c r="H40" s="40">
        <f>+'E-6a (8-10)'!P14</f>
        <v>20982468.502792321</v>
      </c>
      <c r="I40" s="40">
        <f>+'E-6a (8-10)'!P20</f>
        <v>2188799.4074149076</v>
      </c>
      <c r="J40" s="40">
        <f>+'E-6a (8-10)'!P21</f>
        <v>209993.41425404578</v>
      </c>
      <c r="K40" s="40">
        <f>+'E-6a (8-10)'!P28+'E-6a (8-10)'!P46</f>
        <v>11036274.197567809</v>
      </c>
      <c r="L40" s="40">
        <f>SUM(T40:U40)</f>
        <v>374731.87086934189</v>
      </c>
      <c r="M40" s="40">
        <f>+'E-6a (8-10)'!P56</f>
        <v>336023.77377702371</v>
      </c>
      <c r="N40" s="40"/>
      <c r="R40" s="95"/>
      <c r="S40" s="74">
        <f t="shared" si="21"/>
        <v>0</v>
      </c>
      <c r="T40" s="40">
        <f>+'E-6a (8-10)'!$P$33+'E-6a (8-10)'!$P$55</f>
        <v>-1.0327760138460873E-2</v>
      </c>
      <c r="U40" s="40">
        <f>'E-6a (8-10)'!$P$41+'E-6a (8-10)'!$P$51</f>
        <v>374731.88119710202</v>
      </c>
      <c r="V40" s="40"/>
      <c r="Z40" s="32"/>
      <c r="AA40" s="61">
        <f t="shared" si="6"/>
        <v>28</v>
      </c>
      <c r="AB40" s="56"/>
      <c r="AC40" s="96" t="s">
        <v>91</v>
      </c>
      <c r="AG40" s="40">
        <f>SUM(AH40:AN40)</f>
        <v>35111647.718807831</v>
      </c>
      <c r="AH40" s="40">
        <f>+'E-6a (8-10)'!AP14</f>
        <v>21036571.744844668</v>
      </c>
      <c r="AI40" s="40">
        <f>+'E-6a (8-10)'!AP20</f>
        <v>2177907.2984351711</v>
      </c>
      <c r="AJ40" s="40">
        <f>+'E-6a (8-10)'!AP21</f>
        <v>209117.90872189892</v>
      </c>
      <c r="AK40" s="40">
        <f>+'E-6a (8-10)'!AP28+'E-6a (8-10)'!AP46</f>
        <v>10979556.808945941</v>
      </c>
      <c r="AL40" s="40">
        <f>SUM(AT40:AU40)</f>
        <v>374160.90107359481</v>
      </c>
      <c r="AM40" s="40">
        <f>+'E-6a (8-10)'!AP56</f>
        <v>334333.05678655772</v>
      </c>
      <c r="AN40" s="40"/>
      <c r="AR40" s="95"/>
      <c r="AS40" s="74">
        <f t="shared" si="25"/>
        <v>0</v>
      </c>
      <c r="AT40" s="40">
        <f>+'E-6a (8-10)'!$AP$33+'E-6a (8-10)'!$AP$55</f>
        <v>0</v>
      </c>
      <c r="AU40" s="40">
        <f>'E-6a (8-10)'!$AP$41+'E-6a (8-10)'!$AP$51</f>
        <v>374160.90107359481</v>
      </c>
      <c r="AZ40" s="32"/>
      <c r="BA40" s="61">
        <f t="shared" si="9"/>
        <v>28</v>
      </c>
      <c r="BB40" s="56"/>
      <c r="BC40" s="96" t="s">
        <v>91</v>
      </c>
      <c r="BG40" s="40">
        <f>SUM(BH40:BN40)</f>
        <v>35031183.291674182</v>
      </c>
      <c r="BH40" s="40">
        <f>+'E-6a (8-10)'!BP14</f>
        <v>21024272.36356286</v>
      </c>
      <c r="BI40" s="40">
        <f>+'E-6a (8-10)'!BP20</f>
        <v>2168306.28498084</v>
      </c>
      <c r="BJ40" s="40">
        <f>+'E-6a (8-10)'!BP21</f>
        <v>208497.37725828003</v>
      </c>
      <c r="BK40" s="40">
        <f>+'E-6a (8-10)'!BP28+'E-6a (8-10)'!BP46</f>
        <v>10927270.303725917</v>
      </c>
      <c r="BL40" s="40">
        <f>SUM(BT40:BU40)</f>
        <v>369418.61261887668</v>
      </c>
      <c r="BM40" s="40">
        <f>+'E-6a (8-10)'!BP56</f>
        <v>333418.34952740377</v>
      </c>
      <c r="BN40" s="40"/>
      <c r="BR40" s="95"/>
      <c r="BS40" s="74">
        <f t="shared" si="22"/>
        <v>0</v>
      </c>
      <c r="BT40" s="40">
        <f>+'E-6a (8-10)'!BP33+'E-6a (8-10)'!BP55</f>
        <v>-1.0413047890876921E-2</v>
      </c>
      <c r="BU40" s="40">
        <f>'E-6a (8-10)'!$BP$41+'E-6a (8-10)'!$BP$51</f>
        <v>369418.6230319246</v>
      </c>
    </row>
    <row r="41" spans="1:73" x14ac:dyDescent="0.3">
      <c r="A41" s="61">
        <f t="shared" si="3"/>
        <v>29</v>
      </c>
      <c r="B41" s="56"/>
      <c r="C41" s="90" t="s">
        <v>92</v>
      </c>
      <c r="G41" s="40"/>
      <c r="H41" s="39"/>
      <c r="I41" s="39"/>
      <c r="J41" s="39"/>
      <c r="K41" s="39"/>
      <c r="L41" s="39"/>
      <c r="M41" s="39"/>
      <c r="N41" s="39"/>
      <c r="R41" s="95"/>
      <c r="S41" s="74">
        <f t="shared" si="21"/>
        <v>0</v>
      </c>
      <c r="T41" s="39"/>
      <c r="U41" s="39"/>
      <c r="Z41" s="32"/>
      <c r="AA41" s="61">
        <f t="shared" si="6"/>
        <v>29</v>
      </c>
      <c r="AB41" s="56"/>
      <c r="AC41" s="90" t="s">
        <v>92</v>
      </c>
      <c r="AG41" s="40"/>
      <c r="AH41" s="39"/>
      <c r="AI41" s="39"/>
      <c r="AJ41" s="39"/>
      <c r="AK41" s="39"/>
      <c r="AL41" s="39"/>
      <c r="AM41" s="39"/>
      <c r="AN41" s="39"/>
      <c r="AR41" s="95"/>
      <c r="AS41" s="74">
        <f t="shared" si="25"/>
        <v>0</v>
      </c>
      <c r="AT41" s="39"/>
      <c r="AU41" s="39"/>
      <c r="AZ41" s="32"/>
      <c r="BA41" s="61">
        <f t="shared" si="9"/>
        <v>29</v>
      </c>
      <c r="BB41" s="56"/>
      <c r="BC41" s="90" t="s">
        <v>92</v>
      </c>
      <c r="BG41" s="40"/>
      <c r="BH41" s="39"/>
      <c r="BI41" s="39"/>
      <c r="BJ41" s="39"/>
      <c r="BK41" s="39"/>
      <c r="BL41" s="39"/>
      <c r="BM41" s="39"/>
      <c r="BN41" s="39"/>
      <c r="BR41" s="95"/>
      <c r="BS41" s="74">
        <f t="shared" si="22"/>
        <v>0</v>
      </c>
      <c r="BT41" s="39"/>
      <c r="BU41" s="39"/>
    </row>
    <row r="42" spans="1:73" x14ac:dyDescent="0.3">
      <c r="A42" s="61">
        <f t="shared" si="3"/>
        <v>30</v>
      </c>
      <c r="B42" s="56"/>
      <c r="C42" s="96" t="s">
        <v>89</v>
      </c>
      <c r="G42" s="62"/>
      <c r="H42" s="62"/>
      <c r="I42" s="62"/>
      <c r="J42" s="62"/>
      <c r="K42" s="40">
        <f>'E-6a (11-13)'!K71</f>
        <v>37329697.834919058</v>
      </c>
      <c r="L42" s="40">
        <f>SUM(T42:U42)</f>
        <v>8032930.6677279575</v>
      </c>
      <c r="M42" s="62"/>
      <c r="N42" s="62"/>
      <c r="O42" s="97"/>
      <c r="R42" s="95"/>
      <c r="S42" s="98" t="s">
        <v>93</v>
      </c>
      <c r="T42" s="40">
        <f>'E-6a (11-13)'!$K$72</f>
        <v>482630.34239216545</v>
      </c>
      <c r="U42" s="40">
        <f>'E-6a (11-13)'!$K$73</f>
        <v>7550300.3253357923</v>
      </c>
      <c r="V42" s="62"/>
      <c r="Z42" s="32"/>
      <c r="AA42" s="61">
        <f t="shared" si="6"/>
        <v>30</v>
      </c>
      <c r="AB42" s="56"/>
      <c r="AC42" s="96" t="s">
        <v>89</v>
      </c>
      <c r="AG42" s="62"/>
      <c r="AH42" s="62"/>
      <c r="AI42" s="62"/>
      <c r="AJ42" s="62"/>
      <c r="AK42" s="40">
        <f>'E-6a (11-13)'!AK71</f>
        <v>37106294.40702457</v>
      </c>
      <c r="AL42" s="40">
        <f>SUM(AT42:AU42)</f>
        <v>8018547.2153154192</v>
      </c>
      <c r="AM42" s="62"/>
      <c r="AN42" s="62"/>
      <c r="AO42" s="97"/>
      <c r="AR42" s="95"/>
      <c r="AS42" s="98" t="s">
        <v>93</v>
      </c>
      <c r="AT42" s="40">
        <f>'E-6a (11-13)'!$AK$72</f>
        <v>480989.25814906077</v>
      </c>
      <c r="AU42" s="40">
        <f>'E-6a (11-13)'!$AK$73</f>
        <v>7537557.9571663588</v>
      </c>
      <c r="AZ42" s="32"/>
      <c r="BA42" s="61">
        <f t="shared" si="9"/>
        <v>30</v>
      </c>
      <c r="BB42" s="56"/>
      <c r="BC42" s="96" t="s">
        <v>89</v>
      </c>
      <c r="BG42" s="62"/>
      <c r="BH42" s="62"/>
      <c r="BI42" s="62"/>
      <c r="BJ42" s="62"/>
      <c r="BK42" s="40">
        <f>'E-6a (11-13)'!BK71</f>
        <v>36922246.206059702</v>
      </c>
      <c r="BL42" s="40">
        <f>SUM(BT42:BU42)</f>
        <v>7914686.5701262215</v>
      </c>
      <c r="BM42" s="62"/>
      <c r="BN42" s="62"/>
      <c r="BO42" s="97"/>
      <c r="BR42" s="95"/>
      <c r="BS42" s="98" t="s">
        <v>93</v>
      </c>
      <c r="BT42" s="40">
        <f>'E-6a (11-13)'!$BK$72</f>
        <v>474657.90930973575</v>
      </c>
      <c r="BU42" s="40">
        <f>'E-6a (11-13)'!$BK$73</f>
        <v>7440028.660816486</v>
      </c>
    </row>
    <row r="43" spans="1:73" x14ac:dyDescent="0.3">
      <c r="A43" s="61">
        <f t="shared" si="3"/>
        <v>31</v>
      </c>
      <c r="B43" s="56"/>
      <c r="C43" s="96" t="s">
        <v>90</v>
      </c>
      <c r="G43" s="62"/>
      <c r="H43" s="62"/>
      <c r="I43" s="62"/>
      <c r="J43" s="62"/>
      <c r="K43" s="40">
        <f>'E-6a (11-13)'!L71</f>
        <v>36582879.48426795</v>
      </c>
      <c r="L43" s="40">
        <f>SUM(T43:U43)</f>
        <v>5030009.7210825356</v>
      </c>
      <c r="M43" s="62"/>
      <c r="N43" s="62"/>
      <c r="O43" s="97"/>
      <c r="R43" s="95"/>
      <c r="S43" s="98" t="s">
        <v>93</v>
      </c>
      <c r="T43" s="40">
        <f>'E-6a (11-13)'!$L$72</f>
        <v>775984.86935216538</v>
      </c>
      <c r="U43" s="40">
        <f>'E-6a (11-13)'!$L$73</f>
        <v>4254024.85173037</v>
      </c>
      <c r="V43" s="62"/>
      <c r="Z43" s="32"/>
      <c r="AA43" s="61">
        <f t="shared" si="6"/>
        <v>31</v>
      </c>
      <c r="AB43" s="56"/>
      <c r="AC43" s="96" t="s">
        <v>90</v>
      </c>
      <c r="AG43" s="62"/>
      <c r="AH43" s="62"/>
      <c r="AI43" s="62"/>
      <c r="AJ43" s="62"/>
      <c r="AK43" s="40">
        <f>'E-6a (11-13)'!AL71</f>
        <v>36365320.400203697</v>
      </c>
      <c r="AL43" s="40">
        <f>SUM(AT43:AU43)</f>
        <v>5021734.3113073884</v>
      </c>
      <c r="AM43" s="62"/>
      <c r="AN43" s="62"/>
      <c r="AO43" s="97"/>
      <c r="AR43" s="95"/>
      <c r="AS43" s="98" t="s">
        <v>93</v>
      </c>
      <c r="AT43" s="40">
        <f>'E-6a (11-13)'!$AL$72</f>
        <v>774343.78510906082</v>
      </c>
      <c r="AU43" s="40">
        <f>'E-6a (11-13)'!$AL$73</f>
        <v>4247390.5261983275</v>
      </c>
      <c r="AZ43" s="32"/>
      <c r="BA43" s="61">
        <f t="shared" si="9"/>
        <v>31</v>
      </c>
      <c r="BB43" s="56"/>
      <c r="BC43" s="96" t="s">
        <v>90</v>
      </c>
      <c r="BG43" s="62"/>
      <c r="BH43" s="62"/>
      <c r="BI43" s="62"/>
      <c r="BJ43" s="62"/>
      <c r="BK43" s="40">
        <f>'E-6a (11-13)'!BL71</f>
        <v>36186085.319537759</v>
      </c>
      <c r="BL43" s="40">
        <f>SUM(BT43:BU43)</f>
        <v>4964639.9622506648</v>
      </c>
      <c r="BM43" s="62"/>
      <c r="BN43" s="62"/>
      <c r="BO43" s="97"/>
      <c r="BR43" s="95"/>
      <c r="BS43" s="98" t="s">
        <v>93</v>
      </c>
      <c r="BT43" s="40">
        <f>'E-6a (11-13)'!$BL$72</f>
        <v>768012.43626973568</v>
      </c>
      <c r="BU43" s="40">
        <f>'E-6a (11-13)'!$BL$73</f>
        <v>4196627.5259809289</v>
      </c>
    </row>
    <row r="44" spans="1:73" x14ac:dyDescent="0.3">
      <c r="A44" s="61">
        <f t="shared" si="3"/>
        <v>32</v>
      </c>
      <c r="B44" s="56"/>
      <c r="C44" s="96" t="s">
        <v>91</v>
      </c>
      <c r="G44" s="62"/>
      <c r="H44" s="62"/>
      <c r="I44" s="62"/>
      <c r="J44" s="62"/>
      <c r="K44" s="40">
        <f>'E-6a (11-13)'!M71</f>
        <v>31824110.244892307</v>
      </c>
      <c r="L44" s="40">
        <f>SUM(T44:U44)</f>
        <v>814009.41137036704</v>
      </c>
      <c r="M44" s="62"/>
      <c r="N44" s="62"/>
      <c r="R44" s="95"/>
      <c r="S44" s="98" t="s">
        <v>93</v>
      </c>
      <c r="T44" s="40">
        <f>'E-6a (11-13)'!$M$72</f>
        <v>0</v>
      </c>
      <c r="U44" s="40">
        <f>'E-6a (11-13)'!$M$73</f>
        <v>814009.41137036704</v>
      </c>
      <c r="V44" s="62"/>
      <c r="Z44" s="32"/>
      <c r="AA44" s="61">
        <f t="shared" si="6"/>
        <v>32</v>
      </c>
      <c r="AB44" s="56"/>
      <c r="AC44" s="96" t="s">
        <v>91</v>
      </c>
      <c r="AG44" s="62"/>
      <c r="AH44" s="62"/>
      <c r="AI44" s="62"/>
      <c r="AJ44" s="62"/>
      <c r="AK44" s="40">
        <f>'E-6a (11-13)'!AM71</f>
        <v>31633844.239382818</v>
      </c>
      <c r="AL44" s="40">
        <f>SUM(AT44:AU44)</f>
        <v>812636.61294647702</v>
      </c>
      <c r="AM44" s="62"/>
      <c r="AN44" s="62"/>
      <c r="AR44" s="95"/>
      <c r="AS44" s="98" t="s">
        <v>93</v>
      </c>
      <c r="AT44" s="40">
        <f>'E-6a (11-13)'!$AM$72</f>
        <v>0</v>
      </c>
      <c r="AU44" s="40">
        <f>'E-6a (11-13)'!$AM$73</f>
        <v>812636.61294647702</v>
      </c>
      <c r="AZ44" s="32"/>
      <c r="BA44" s="61">
        <f t="shared" si="9"/>
        <v>32</v>
      </c>
      <c r="BB44" s="56"/>
      <c r="BC44" s="96" t="s">
        <v>91</v>
      </c>
      <c r="BG44" s="62"/>
      <c r="BH44" s="62"/>
      <c r="BI44" s="62"/>
      <c r="BJ44" s="62"/>
      <c r="BK44" s="40">
        <f>'E-6a (11-13)'!BM71</f>
        <v>31477059.670374885</v>
      </c>
      <c r="BL44" s="40">
        <f>SUM(BT44:BU44)</f>
        <v>802125.61108837486</v>
      </c>
      <c r="BM44" s="62"/>
      <c r="BN44" s="62"/>
      <c r="BR44" s="95"/>
      <c r="BS44" s="98" t="s">
        <v>93</v>
      </c>
      <c r="BT44" s="40">
        <f>'E-6a (11-13)'!$BM$72</f>
        <v>0</v>
      </c>
      <c r="BU44" s="40">
        <f>'E-6a (11-13)'!$BM$73</f>
        <v>802125.61108837486</v>
      </c>
    </row>
    <row r="45" spans="1:73" x14ac:dyDescent="0.3">
      <c r="A45" s="61">
        <f t="shared" si="3"/>
        <v>33</v>
      </c>
      <c r="B45" s="99"/>
      <c r="C45" s="100" t="s">
        <v>94</v>
      </c>
      <c r="D45" s="58"/>
      <c r="E45" s="58"/>
      <c r="F45" s="58"/>
      <c r="G45" s="99">
        <f>SUM(H45:N45)</f>
        <v>0.99999999999999967</v>
      </c>
      <c r="H45" s="99">
        <f>'[7]5-E10 Class Alloc'!$U$13</f>
        <v>0.63142184644111021</v>
      </c>
      <c r="I45" s="99">
        <f>'[7]5-E10 Class Alloc'!$U$18</f>
        <v>5.3465528803797548E-2</v>
      </c>
      <c r="J45" s="99">
        <f>'[7]5-E10 Class Alloc'!$U$20</f>
        <v>3.3005036226643348E-3</v>
      </c>
      <c r="K45" s="99">
        <f>'[7]5-E10 Class Alloc'!$U$30</f>
        <v>0.26856368920038393</v>
      </c>
      <c r="L45" s="99">
        <f t="shared" ref="L45:L47" si="27">SUM(T45:U45)</f>
        <v>4.2893397677812986E-2</v>
      </c>
      <c r="M45" s="99">
        <f>'[7]5-E10 Class Alloc'!$U$49</f>
        <v>3.5503425423082487E-4</v>
      </c>
      <c r="N45" s="99"/>
      <c r="O45" s="58"/>
      <c r="R45" s="95"/>
      <c r="S45" s="350">
        <f>SUM(H45:N45)-G45</f>
        <v>0</v>
      </c>
      <c r="T45" s="351">
        <f>'[7]5-E10 Class Alloc'!$U$36</f>
        <v>2.840274033846599E-3</v>
      </c>
      <c r="U45" s="351">
        <f>'[7]5-E10 Class Alloc'!$U$47</f>
        <v>4.005312364396639E-2</v>
      </c>
      <c r="V45" s="352"/>
      <c r="Z45" s="32"/>
      <c r="AA45" s="61">
        <f t="shared" si="6"/>
        <v>33</v>
      </c>
      <c r="AB45" s="99"/>
      <c r="AC45" s="100" t="s">
        <v>94</v>
      </c>
      <c r="AD45" s="58"/>
      <c r="AE45" s="58"/>
      <c r="AF45" s="58"/>
      <c r="AG45" s="99">
        <f>SUM(AH45:AN45)</f>
        <v>1.0000001174572444</v>
      </c>
      <c r="AH45" s="99">
        <f>ROUND('[7]4-E10 Class Alloc'!$U$13,6)</f>
        <v>0.62521499999999997</v>
      </c>
      <c r="AI45" s="99">
        <f>ROUND('[7]4-E10 Class Alloc'!$U$18,6)</f>
        <v>5.4358999999999998E-2</v>
      </c>
      <c r="AJ45" s="99">
        <f>ROUND('[7]4-E10 Class Alloc'!$U$20,6)</f>
        <v>3.3479999999999998E-3</v>
      </c>
      <c r="AK45" s="99">
        <f>ROUND('[7]4-E10 Class Alloc'!$U$30,6)</f>
        <v>0.27296399999999998</v>
      </c>
      <c r="AL45" s="99">
        <f t="shared" ref="AL45:AL47" si="28">SUM(AT45:AU45)</f>
        <v>4.3764117457244275E-2</v>
      </c>
      <c r="AM45" s="99">
        <f>ROUND('[7]4-E10 Class Alloc'!$U$49,6)</f>
        <v>3.5E-4</v>
      </c>
      <c r="AN45" s="99"/>
      <c r="AO45" s="58"/>
      <c r="AR45" s="95"/>
      <c r="AS45" s="350">
        <f>SUM(AH45:AN45)-AG45</f>
        <v>0</v>
      </c>
      <c r="AT45" s="99">
        <f>'[7]4-E10 Class Alloc'!$U$36</f>
        <v>2.9041626331074541E-3</v>
      </c>
      <c r="AU45" s="99">
        <f>'[7]4-E10 Class Alloc'!$U$47</f>
        <v>4.0859954824136818E-2</v>
      </c>
      <c r="AZ45" s="32"/>
      <c r="BA45" s="61">
        <f t="shared" si="9"/>
        <v>33</v>
      </c>
      <c r="BB45" s="99"/>
      <c r="BC45" s="100" t="s">
        <v>94</v>
      </c>
      <c r="BD45" s="58"/>
      <c r="BE45" s="58"/>
      <c r="BF45" s="58"/>
      <c r="BG45" s="99">
        <f>SUM(BH45:BN45)</f>
        <v>0.99999999999999989</v>
      </c>
      <c r="BH45" s="99">
        <f>'[7]3-E10 Class Alloc'!$U$13</f>
        <v>0.62731465917189999</v>
      </c>
      <c r="BI45" s="99">
        <f>'[7]3-E10 Class Alloc'!$U$18</f>
        <v>5.4112932506757389E-2</v>
      </c>
      <c r="BJ45" s="99">
        <f>'[7]3-E10 Class Alloc'!$U$20</f>
        <v>3.3484394120732084E-3</v>
      </c>
      <c r="BK45" s="99">
        <f>'[7]3-E10 Class Alloc'!$U$30</f>
        <v>0.27165391390879873</v>
      </c>
      <c r="BL45" s="99">
        <f t="shared" ref="BL45:BL47" si="29">SUM(BT45:BU45)</f>
        <v>4.3220418756639727E-2</v>
      </c>
      <c r="BM45" s="99">
        <f>'[7]3-E10 Class Alloc'!$U$49</f>
        <v>3.4963624383093744E-4</v>
      </c>
      <c r="BN45" s="99"/>
      <c r="BO45" s="58"/>
      <c r="BR45" s="95"/>
      <c r="BS45" s="350">
        <f>SUM(BH45:BN45)-BG45</f>
        <v>0</v>
      </c>
      <c r="BT45" s="352">
        <f>'[7]3-E10 Class Alloc'!$U$36</f>
        <v>2.8643276898457568E-3</v>
      </c>
      <c r="BU45" s="352">
        <f>'[7]3-E10 Class Alloc'!$U$47</f>
        <v>4.035609106679397E-2</v>
      </c>
    </row>
    <row r="46" spans="1:73" x14ac:dyDescent="0.3">
      <c r="A46" s="61">
        <f t="shared" si="3"/>
        <v>34</v>
      </c>
      <c r="B46" s="99"/>
      <c r="C46" s="104" t="s">
        <v>95</v>
      </c>
      <c r="D46" s="58"/>
      <c r="E46" s="58"/>
      <c r="F46" s="58"/>
      <c r="G46" s="99">
        <f>SUM(H46:N46)</f>
        <v>1.0000000000000002</v>
      </c>
      <c r="H46" s="99">
        <f>'[7]5-E10 Class Alloc'!$W$13</f>
        <v>0.53261000000000003</v>
      </c>
      <c r="I46" s="99">
        <f>'[7]5-E10 Class Alloc'!$W$18</f>
        <v>5.4980000000000001E-2</v>
      </c>
      <c r="J46" s="99">
        <f>'[7]5-E10 Class Alloc'!$W$20</f>
        <v>5.1900000000000002E-3</v>
      </c>
      <c r="K46" s="99">
        <f>'[7]5-E10 Class Alloc'!$W$30</f>
        <v>0.32999000000000001</v>
      </c>
      <c r="L46" s="99">
        <f t="shared" si="27"/>
        <v>6.8879999999999997E-2</v>
      </c>
      <c r="M46" s="99">
        <f>'[7]5-E10 Class Alloc'!$W$49</f>
        <v>8.3499999999999998E-3</v>
      </c>
      <c r="N46" s="99"/>
      <c r="O46" s="58"/>
      <c r="R46" s="95"/>
      <c r="S46" s="350">
        <f>SUM(H46:N46)-G46</f>
        <v>0</v>
      </c>
      <c r="T46" s="351">
        <f>'[7]5-E10 Class Alloc'!$W$36</f>
        <v>5.0899999999999999E-3</v>
      </c>
      <c r="U46" s="351">
        <f>'[7]5-E10 Class Alloc'!$W$47</f>
        <v>6.3789999999999999E-2</v>
      </c>
      <c r="V46" s="352"/>
      <c r="Z46" s="32"/>
      <c r="AA46" s="61">
        <f t="shared" si="6"/>
        <v>34</v>
      </c>
      <c r="AB46" s="99"/>
      <c r="AC46" s="104" t="s">
        <v>95</v>
      </c>
      <c r="AD46" s="58"/>
      <c r="AE46" s="58"/>
      <c r="AF46" s="58"/>
      <c r="AG46" s="99">
        <f>SUM(AH46:AN46)</f>
        <v>1</v>
      </c>
      <c r="AH46" s="99">
        <f>ROUND('[7]4-E10 Class Alloc'!$W$13,6)</f>
        <v>0.52597000000000005</v>
      </c>
      <c r="AI46" s="99">
        <f>'[7]4-E10 Class Alloc'!$W$18</f>
        <v>5.5750000000000001E-2</v>
      </c>
      <c r="AJ46" s="99">
        <f>'[7]4-E10 Class Alloc'!$W$20</f>
        <v>5.2700000000000004E-3</v>
      </c>
      <c r="AK46" s="99">
        <f>'[7]4-E10 Class Alloc'!$W$30</f>
        <v>0.33446999999999999</v>
      </c>
      <c r="AL46" s="99">
        <f t="shared" si="28"/>
        <v>7.0110000000000006E-2</v>
      </c>
      <c r="AM46" s="99">
        <f>'[7]4-E10 Class Alloc'!$W$49</f>
        <v>8.43E-3</v>
      </c>
      <c r="AN46" s="99"/>
      <c r="AO46" s="58"/>
      <c r="AR46" s="95"/>
      <c r="AS46" s="350">
        <f>SUM(AH46:AN46)-AG46</f>
        <v>0</v>
      </c>
      <c r="AT46" s="99">
        <f>'[7]4-E10 Class Alloc'!$W$36</f>
        <v>5.1900000000000002E-3</v>
      </c>
      <c r="AU46" s="99">
        <f>'[7]4-E10 Class Alloc'!$W$47</f>
        <v>6.4920000000000005E-2</v>
      </c>
      <c r="AZ46" s="32"/>
      <c r="BA46" s="61">
        <f t="shared" si="9"/>
        <v>34</v>
      </c>
      <c r="BB46" s="99"/>
      <c r="BC46" s="104" t="s">
        <v>95</v>
      </c>
      <c r="BD46" s="58"/>
      <c r="BE46" s="58"/>
      <c r="BF46" s="58"/>
      <c r="BG46" s="99">
        <f>SUM(BH46:BN46)</f>
        <v>0.99999999999999989</v>
      </c>
      <c r="BH46" s="99">
        <f>'[7]3-E10 Class Alloc'!$W$13</f>
        <v>0.52826000000000006</v>
      </c>
      <c r="BI46" s="99">
        <f>'[7]3-E10 Class Alloc'!$W$18</f>
        <v>5.5579999999999997E-2</v>
      </c>
      <c r="BJ46" s="99">
        <f>'[7]3-E10 Class Alloc'!$W$20</f>
        <v>5.28E-3</v>
      </c>
      <c r="BK46" s="99">
        <f>'[7]3-E10 Class Alloc'!$W$30</f>
        <v>0.33317999999999998</v>
      </c>
      <c r="BL46" s="99">
        <f t="shared" si="29"/>
        <v>6.9260000000000002E-2</v>
      </c>
      <c r="BM46" s="99">
        <f>'[7]3-E10 Class Alloc'!$W$49</f>
        <v>8.4399999999999996E-3</v>
      </c>
      <c r="BN46" s="99"/>
      <c r="BO46" s="58"/>
      <c r="BR46" s="95"/>
      <c r="BS46" s="350">
        <f>SUM(BH46:BN46)-BG46</f>
        <v>0</v>
      </c>
      <c r="BT46" s="352">
        <f>'[7]3-E10 Class Alloc'!$W$36</f>
        <v>5.11E-3</v>
      </c>
      <c r="BU46" s="352">
        <f>'[7]3-E10 Class Alloc'!$W$47</f>
        <v>6.4149999999999999E-2</v>
      </c>
    </row>
    <row r="47" spans="1:73" ht="14.4" thickBot="1" x14ac:dyDescent="0.35">
      <c r="A47" s="61">
        <f t="shared" si="3"/>
        <v>35</v>
      </c>
      <c r="B47" s="99"/>
      <c r="C47" s="105" t="str">
        <f>'Procedures &amp; Inputs'!$D$216 &amp;" Allocator"</f>
        <v>12 CP and 1/13 AD Allocator</v>
      </c>
      <c r="D47" s="106"/>
      <c r="E47" s="106"/>
      <c r="F47" s="106"/>
      <c r="G47" s="107">
        <f>SUM(H47:N47)</f>
        <v>0.99999999999999989</v>
      </c>
      <c r="H47" s="107">
        <f>H45*'Procedures &amp; Inputs'!$K$216+H46*'Procedures &amp; Inputs'!$L$216</f>
        <v>0.62382093517640946</v>
      </c>
      <c r="I47" s="107">
        <f>I45*'Procedures &amp; Inputs'!$K$216+I46*'Procedures &amp; Inputs'!$L$216</f>
        <v>5.3582026588120807E-2</v>
      </c>
      <c r="J47" s="107">
        <f>J45*'Procedures &amp; Inputs'!$K$216+J46*'Procedures &amp; Inputs'!$L$216</f>
        <v>3.4458494978440012E-3</v>
      </c>
      <c r="K47" s="107">
        <f>K45*'Procedures &amp; Inputs'!$K$216+K46*'Procedures &amp; Inputs'!$L$216</f>
        <v>0.27328879003112361</v>
      </c>
      <c r="L47" s="107">
        <f t="shared" si="27"/>
        <v>4.4892367087211983E-2</v>
      </c>
      <c r="M47" s="107">
        <f>M45*'Procedures &amp; Inputs'!$K$216+M46*'Procedures &amp; Inputs'!$L$216</f>
        <v>9.7003161928999179E-4</v>
      </c>
      <c r="N47" s="107"/>
      <c r="O47" s="107"/>
      <c r="R47" s="132"/>
      <c r="S47" s="353">
        <f>SUM(H47:N47)-G47</f>
        <v>0</v>
      </c>
      <c r="T47" s="354">
        <f>T45*'Procedures &amp; Inputs'!$K$216+T46*'Procedures &amp; Inputs'!$L$216</f>
        <v>3.0133298773968604E-3</v>
      </c>
      <c r="U47" s="354">
        <f>U45*'Procedures &amp; Inputs'!$K$216+U46*'Procedures &amp; Inputs'!$L$216</f>
        <v>4.1879037209815125E-2</v>
      </c>
      <c r="V47" s="352"/>
      <c r="Z47" s="32"/>
      <c r="AA47" s="61">
        <f t="shared" si="6"/>
        <v>35</v>
      </c>
      <c r="AB47" s="99"/>
      <c r="AC47" s="105" t="str">
        <f>'Procedures &amp; Inputs'!$D$216 &amp;" Allocator"</f>
        <v>12 CP and 1/13 AD Allocator</v>
      </c>
      <c r="AD47" s="106"/>
      <c r="AE47" s="106"/>
      <c r="AF47" s="106"/>
      <c r="AG47" s="107">
        <f>SUM(AH47:AN47)</f>
        <v>0.99999999999999989</v>
      </c>
      <c r="AH47" s="107">
        <f>1-SUM(AI47:AM47)</f>
        <v>0.61758066080869756</v>
      </c>
      <c r="AI47" s="107">
        <f>AI45*'Procedures &amp; Inputs'!$K$216+AI46*'Procedures &amp; Inputs'!$L$216</f>
        <v>5.4465999999999994E-2</v>
      </c>
      <c r="AJ47" s="107">
        <f>AJ45*'Procedures &amp; Inputs'!$K$216+AJ46*'Procedures &amp; Inputs'!$L$216</f>
        <v>3.4958461538461536E-3</v>
      </c>
      <c r="AK47" s="107">
        <f>AK45*'Procedures &amp; Inputs'!$K$216+AK46*'Procedures &amp; Inputs'!$L$216</f>
        <v>0.27769523076923075</v>
      </c>
      <c r="AL47" s="107">
        <f t="shared" si="28"/>
        <v>4.5790723806687014E-2</v>
      </c>
      <c r="AM47" s="107">
        <f>AM45*'Procedures &amp; Inputs'!$K$216+AM46*'Procedures &amp; Inputs'!$L$216</f>
        <v>9.7153846153846118E-4</v>
      </c>
      <c r="AN47" s="107"/>
      <c r="AO47" s="107"/>
      <c r="AR47" s="132"/>
      <c r="AS47" s="353">
        <f>SUM(AH47:AN47)-AG47</f>
        <v>0</v>
      </c>
      <c r="AT47" s="107">
        <f>AT45*'Procedures &amp; Inputs'!$K$216+AT46*'Procedures &amp; Inputs'!$L$216</f>
        <v>3.0799962767145729E-3</v>
      </c>
      <c r="AU47" s="107">
        <f>AU45*'Procedures &amp; Inputs'!$K$216+AU46*'Procedures &amp; Inputs'!$L$216</f>
        <v>4.2710727529972445E-2</v>
      </c>
      <c r="AZ47" s="32"/>
      <c r="BA47" s="61">
        <f t="shared" si="9"/>
        <v>35</v>
      </c>
      <c r="BB47" s="99"/>
      <c r="BC47" s="105" t="str">
        <f>'Procedures &amp; Inputs'!$D$216 &amp;" Allocator"</f>
        <v>12 CP and 1/13 AD Allocator</v>
      </c>
      <c r="BD47" s="106"/>
      <c r="BE47" s="106"/>
      <c r="BF47" s="106"/>
      <c r="BG47" s="107">
        <f>SUM(BH47:BN47)</f>
        <v>1</v>
      </c>
      <c r="BH47" s="107">
        <f>BH45*'Procedures &amp; Inputs'!$K$216+BH46*'Procedures &amp; Inputs'!$L$216</f>
        <v>0.61969507000483082</v>
      </c>
      <c r="BI47" s="107">
        <f>BI45*'Procedures &amp; Inputs'!$K$216+BI46*'Procedures &amp; Inputs'!$L$216</f>
        <v>5.4225783852391435E-2</v>
      </c>
      <c r="BJ47" s="107">
        <f>BJ45*'Procedures &amp; Inputs'!$K$216+BJ46*'Procedures &amp; Inputs'!$L$216</f>
        <v>3.4970209957598847E-3</v>
      </c>
      <c r="BK47" s="107">
        <f>BK45*'Procedures &amp; Inputs'!$K$216+BK46*'Procedures &amp; Inputs'!$L$216</f>
        <v>0.27638668976196806</v>
      </c>
      <c r="BL47" s="107">
        <f t="shared" si="29"/>
        <v>4.5223463467667431E-2</v>
      </c>
      <c r="BM47" s="107">
        <f>BM45*'Procedures &amp; Inputs'!$K$216+BM46*'Procedures &amp; Inputs'!$L$216</f>
        <v>9.7197191738240341E-4</v>
      </c>
      <c r="BN47" s="107"/>
      <c r="BO47" s="107"/>
      <c r="BR47" s="132"/>
      <c r="BS47" s="353">
        <f>SUM(BH47:BN47)-BG47</f>
        <v>0</v>
      </c>
      <c r="BT47" s="355">
        <f>BT45*'Procedures &amp; Inputs'!$K$216+BT46*'Procedures &amp; Inputs'!$L$216</f>
        <v>3.037071713703775E-3</v>
      </c>
      <c r="BU47" s="355">
        <f>BU45*'Procedures &amp; Inputs'!$K$216+BU46*'Procedures &amp; Inputs'!$L$216</f>
        <v>4.2186391753963659E-2</v>
      </c>
    </row>
    <row r="48" spans="1:73" ht="13.2" customHeight="1" thickTop="1" x14ac:dyDescent="0.3">
      <c r="A48" s="61">
        <f t="shared" si="3"/>
        <v>36</v>
      </c>
      <c r="B48" s="56"/>
      <c r="C48" s="83" t="s">
        <v>96</v>
      </c>
      <c r="G48" s="56"/>
      <c r="H48" s="110"/>
      <c r="I48" s="110"/>
      <c r="J48" s="110"/>
      <c r="K48" s="110"/>
      <c r="L48" s="110"/>
      <c r="M48" s="110"/>
      <c r="N48" s="56"/>
      <c r="O48" s="87"/>
      <c r="U48" s="56"/>
      <c r="Z48" s="32"/>
      <c r="AA48" s="61">
        <f t="shared" si="6"/>
        <v>36</v>
      </c>
      <c r="AB48" s="56"/>
      <c r="AC48" s="83" t="s">
        <v>96</v>
      </c>
      <c r="AG48" s="56"/>
      <c r="AH48" s="110"/>
      <c r="AI48" s="110"/>
      <c r="AJ48" s="110"/>
      <c r="AK48" s="110"/>
      <c r="AL48" s="110"/>
      <c r="AM48" s="110"/>
      <c r="AN48" s="56"/>
      <c r="AO48" s="87"/>
      <c r="AU48" s="56"/>
      <c r="AZ48" s="32"/>
      <c r="BA48" s="61">
        <f t="shared" si="9"/>
        <v>36</v>
      </c>
      <c r="BB48" s="56"/>
      <c r="BC48" s="83" t="s">
        <v>96</v>
      </c>
      <c r="BG48" s="56"/>
      <c r="BH48" s="110"/>
      <c r="BI48" s="110"/>
      <c r="BJ48" s="110"/>
      <c r="BK48" s="110"/>
      <c r="BL48" s="110"/>
      <c r="BM48" s="110"/>
      <c r="BN48" s="56"/>
      <c r="BO48" s="87"/>
      <c r="BU48" s="56"/>
    </row>
    <row r="49" spans="1:73" x14ac:dyDescent="0.3">
      <c r="A49" s="61">
        <f t="shared" si="3"/>
        <v>37</v>
      </c>
      <c r="B49" s="111"/>
      <c r="C49" s="90" t="s">
        <v>97</v>
      </c>
      <c r="G49" s="56"/>
      <c r="H49" s="110"/>
      <c r="I49" s="110"/>
      <c r="J49" s="110"/>
      <c r="K49" s="110"/>
      <c r="L49" s="110"/>
      <c r="M49" s="110"/>
      <c r="N49" s="110"/>
      <c r="O49" s="87"/>
      <c r="U49" s="110"/>
      <c r="Z49" s="32"/>
      <c r="AA49" s="61">
        <f t="shared" si="6"/>
        <v>37</v>
      </c>
      <c r="AB49" s="111"/>
      <c r="AC49" s="90" t="s">
        <v>97</v>
      </c>
      <c r="AG49" s="56"/>
      <c r="AH49" s="110"/>
      <c r="AI49" s="110"/>
      <c r="AJ49" s="110"/>
      <c r="AK49" s="110"/>
      <c r="AL49" s="110"/>
      <c r="AM49" s="110"/>
      <c r="AN49" s="110"/>
      <c r="AO49" s="87"/>
      <c r="AU49" s="110"/>
      <c r="AZ49" s="32"/>
      <c r="BA49" s="61">
        <f t="shared" si="9"/>
        <v>37</v>
      </c>
      <c r="BB49" s="111"/>
      <c r="BC49" s="90" t="s">
        <v>97</v>
      </c>
      <c r="BG49" s="56"/>
      <c r="BH49" s="110"/>
      <c r="BI49" s="110"/>
      <c r="BJ49" s="110"/>
      <c r="BK49" s="110"/>
      <c r="BL49" s="110"/>
      <c r="BM49" s="110"/>
      <c r="BN49" s="110"/>
      <c r="BO49" s="87"/>
      <c r="BU49" s="110"/>
    </row>
    <row r="50" spans="1:73" x14ac:dyDescent="0.3">
      <c r="A50" s="61">
        <f t="shared" si="3"/>
        <v>38</v>
      </c>
      <c r="B50" s="111"/>
      <c r="C50" s="96" t="str">
        <f>C19</f>
        <v>Distribution Primary</v>
      </c>
      <c r="F50" s="3" t="s">
        <v>256</v>
      </c>
      <c r="G50" s="56"/>
      <c r="H50" s="112">
        <f>IF(H34=0,0,(H19*1000)/H34)</f>
        <v>20.963044436016332</v>
      </c>
      <c r="I50" s="112">
        <f t="shared" ref="I50:M50" si="30">IF(I34=0,0,(I19*1000)/I34)</f>
        <v>26.905150007885364</v>
      </c>
      <c r="J50" s="112">
        <f t="shared" si="30"/>
        <v>10.942331790107877</v>
      </c>
      <c r="K50" s="112">
        <f t="shared" si="30"/>
        <v>301.52598961358439</v>
      </c>
      <c r="L50" s="112">
        <f t="shared" si="30"/>
        <v>10709.545737712931</v>
      </c>
      <c r="M50" s="112">
        <f t="shared" si="30"/>
        <v>7.1680706069089926</v>
      </c>
      <c r="N50" s="110"/>
      <c r="O50" s="87"/>
      <c r="T50" s="112">
        <f t="shared" ref="T50:U50" si="31">IF(T34=0,0,(T19*1000)/T34)</f>
        <v>33541.024412565304</v>
      </c>
      <c r="U50" s="112">
        <f t="shared" si="31"/>
        <v>9647.9907574234458</v>
      </c>
      <c r="Z50" s="32"/>
      <c r="AA50" s="61">
        <f t="shared" si="6"/>
        <v>38</v>
      </c>
      <c r="AB50" s="111"/>
      <c r="AC50" s="96" t="str">
        <f>AC19</f>
        <v>Distribution Primary</v>
      </c>
      <c r="AF50" s="3" t="s">
        <v>256</v>
      </c>
      <c r="AG50" s="56"/>
      <c r="AH50" s="112">
        <f>IF(AH34=0,0,(AH19*1000)/AH34)</f>
        <v>20.279495095050365</v>
      </c>
      <c r="AI50" s="112">
        <f t="shared" ref="AI50:AM50" si="32">IF(AI34=0,0,(AI19*1000)/AI34)</f>
        <v>26.424780268302886</v>
      </c>
      <c r="AJ50" s="112">
        <f t="shared" si="32"/>
        <v>10.708343387423611</v>
      </c>
      <c r="AK50" s="112">
        <f t="shared" si="32"/>
        <v>296.01697101970507</v>
      </c>
      <c r="AL50" s="112">
        <f t="shared" si="32"/>
        <v>10486.958503238049</v>
      </c>
      <c r="AM50" s="112">
        <f t="shared" si="32"/>
        <v>7.015451325455321</v>
      </c>
      <c r="AN50" s="110"/>
      <c r="AO50" s="87"/>
      <c r="AT50" s="112">
        <f t="shared" ref="AT50:AU50" si="33">IF(AT34=0,0,(AT19*1000)/AT34)</f>
        <v>32883.799502560025</v>
      </c>
      <c r="AU50" s="112">
        <f t="shared" si="33"/>
        <v>9446.7120341119535</v>
      </c>
      <c r="AZ50" s="32"/>
      <c r="BA50" s="61">
        <f t="shared" si="9"/>
        <v>38</v>
      </c>
      <c r="BB50" s="111"/>
      <c r="BC50" s="96" t="str">
        <f>BC19</f>
        <v>Distribution Primary</v>
      </c>
      <c r="BF50" s="3" t="s">
        <v>256</v>
      </c>
      <c r="BG50" s="56"/>
      <c r="BH50" s="112">
        <f>IF(BH34=0,0,(BH19*1000)/BH34)</f>
        <v>19.852882044089188</v>
      </c>
      <c r="BI50" s="112">
        <f t="shared" ref="BI50:BM50" si="34">IF(BI34=0,0,(BI19*1000)/BI34)</f>
        <v>25.586542575773255</v>
      </c>
      <c r="BJ50" s="112">
        <f t="shared" si="34"/>
        <v>10.382392976461079</v>
      </c>
      <c r="BK50" s="112">
        <f t="shared" si="34"/>
        <v>285.51334567850336</v>
      </c>
      <c r="BL50" s="112">
        <f t="shared" si="34"/>
        <v>9947.540687030134</v>
      </c>
      <c r="BM50" s="112">
        <f t="shared" si="34"/>
        <v>6.7933259817281648</v>
      </c>
      <c r="BN50" s="110"/>
      <c r="BO50" s="87"/>
      <c r="BT50" s="112">
        <f t="shared" ref="BT50:BU50" si="35">IF(BT34=0,0,(BT19*1000)/BT34)</f>
        <v>31133.702051464774</v>
      </c>
      <c r="BU50" s="112">
        <f t="shared" si="35"/>
        <v>8966.1084969490857</v>
      </c>
    </row>
    <row r="51" spans="1:73" x14ac:dyDescent="0.3">
      <c r="A51" s="61">
        <f t="shared" si="3"/>
        <v>39</v>
      </c>
      <c r="B51" s="111"/>
      <c r="C51" s="96" t="str">
        <f>C21</f>
        <v>Distribution Secondary</v>
      </c>
      <c r="F51" s="3" t="s">
        <v>257</v>
      </c>
      <c r="G51" s="56"/>
      <c r="H51" s="112">
        <f>IF(H34=0,0,(H21*1000)/H34)</f>
        <v>9.6308991522946688</v>
      </c>
      <c r="I51" s="112">
        <f t="shared" ref="I51:M51" si="36">IF(I34=0,0,(I21*1000)/I34)</f>
        <v>11.529500013772843</v>
      </c>
      <c r="J51" s="112">
        <f t="shared" si="36"/>
        <v>2.6433465010283927</v>
      </c>
      <c r="K51" s="112">
        <f t="shared" si="36"/>
        <v>76.211413161152194</v>
      </c>
      <c r="L51" s="112">
        <f t="shared" si="36"/>
        <v>1427.7247530775262</v>
      </c>
      <c r="M51" s="112">
        <f t="shared" si="36"/>
        <v>1.5313965588535168</v>
      </c>
      <c r="N51" s="110"/>
      <c r="O51" s="87"/>
      <c r="T51" s="112">
        <f t="shared" ref="T51:U51" si="37">IF(T34=0,0,(T21*1000)/T34)</f>
        <v>1994.8504584741786</v>
      </c>
      <c r="U51" s="112">
        <f t="shared" si="37"/>
        <v>1401.3561097851793</v>
      </c>
      <c r="Z51" s="32"/>
      <c r="AA51" s="61">
        <f t="shared" si="6"/>
        <v>39</v>
      </c>
      <c r="AB51" s="111"/>
      <c r="AC51" s="96" t="str">
        <f>AC21</f>
        <v>Distribution Secondary</v>
      </c>
      <c r="AF51" s="3" t="s">
        <v>257</v>
      </c>
      <c r="AG51" s="56"/>
      <c r="AH51" s="112">
        <f>IF(AH34=0,0,(AH21*1000)/AH34)</f>
        <v>9.4023122801231214</v>
      </c>
      <c r="AI51" s="112">
        <f t="shared" ref="AI51:AM51" si="38">IF(AI34=0,0,(AI21*1000)/AI34)</f>
        <v>11.437423657383322</v>
      </c>
      <c r="AJ51" s="112">
        <f t="shared" si="38"/>
        <v>2.6201961425730937</v>
      </c>
      <c r="AK51" s="112">
        <f t="shared" si="38"/>
        <v>75.625221899588595</v>
      </c>
      <c r="AL51" s="112">
        <f t="shared" si="38"/>
        <v>1421.1000937167651</v>
      </c>
      <c r="AM51" s="112">
        <f t="shared" si="38"/>
        <v>1.5172624293421562</v>
      </c>
      <c r="AN51" s="110"/>
      <c r="AO51" s="87"/>
      <c r="AT51" s="112">
        <f t="shared" ref="AT51:AU51" si="39">IF(AT34=0,0,(AT21*1000)/AT34)</f>
        <v>1999.8200027023872</v>
      </c>
      <c r="AU51" s="112">
        <f t="shared" si="39"/>
        <v>1394.2207966786923</v>
      </c>
      <c r="AZ51" s="32"/>
      <c r="BA51" s="61">
        <f t="shared" si="9"/>
        <v>39</v>
      </c>
      <c r="BB51" s="111"/>
      <c r="BC51" s="96" t="str">
        <f>BC21</f>
        <v>Distribution Secondary</v>
      </c>
      <c r="BF51" s="3" t="s">
        <v>257</v>
      </c>
      <c r="BG51" s="56"/>
      <c r="BH51" s="112">
        <f>IF(BH34=0,0,(BH21*1000)/BH34)</f>
        <v>9.3433382131518972</v>
      </c>
      <c r="BI51" s="112">
        <f t="shared" ref="BI51:BM51" si="40">IF(BI34=0,0,(BI21*1000)/BI34)</f>
        <v>11.246229772064693</v>
      </c>
      <c r="BJ51" s="112">
        <f t="shared" si="40"/>
        <v>2.5961429369149656</v>
      </c>
      <c r="BK51" s="112">
        <f t="shared" si="40"/>
        <v>74.521505284507981</v>
      </c>
      <c r="BL51" s="112">
        <f t="shared" si="40"/>
        <v>1395.3263443590222</v>
      </c>
      <c r="BM51" s="112">
        <f t="shared" si="40"/>
        <v>1.4980414046664181</v>
      </c>
      <c r="BN51" s="110"/>
      <c r="BO51" s="87"/>
      <c r="BT51" s="112">
        <f t="shared" ref="BT51:BU51" si="41">IF(BT34=0,0,(BT21*1000)/BT34)</f>
        <v>1995.979340217317</v>
      </c>
      <c r="BU51" s="112">
        <f t="shared" si="41"/>
        <v>1367.501568786721</v>
      </c>
    </row>
    <row r="52" spans="1:73" x14ac:dyDescent="0.3">
      <c r="A52" s="61">
        <f t="shared" si="3"/>
        <v>40</v>
      </c>
      <c r="B52" s="113"/>
      <c r="C52" s="96" t="s">
        <v>98</v>
      </c>
      <c r="F52" s="3" t="s">
        <v>99</v>
      </c>
      <c r="G52" s="56"/>
      <c r="H52" s="112">
        <f t="shared" ref="H52:M52" si="42">IF(H35=0,0,(H23*1000)/H35)</f>
        <v>2.2075974737916519</v>
      </c>
      <c r="I52" s="112">
        <f t="shared" si="42"/>
        <v>2.4417089543954806</v>
      </c>
      <c r="J52" s="112">
        <f t="shared" si="42"/>
        <v>1.9961337692902057</v>
      </c>
      <c r="K52" s="112">
        <f t="shared" si="42"/>
        <v>8.3232463791295412</v>
      </c>
      <c r="L52" s="112">
        <f t="shared" si="42"/>
        <v>606.16587883716568</v>
      </c>
      <c r="M52" s="112">
        <f t="shared" si="42"/>
        <v>1.7805153364664394</v>
      </c>
      <c r="N52" s="114"/>
      <c r="O52" s="87"/>
      <c r="T52" s="112">
        <f>IF(T35=0,0,(T23*1000)/T35)</f>
        <v>7247.5996111077584</v>
      </c>
      <c r="U52" s="112">
        <f>IF(U35=0,0,(U23*1000)/U35)</f>
        <v>551.17017388495117</v>
      </c>
      <c r="V52" s="112"/>
      <c r="Z52" s="32"/>
      <c r="AA52" s="61">
        <f t="shared" si="6"/>
        <v>40</v>
      </c>
      <c r="AB52" s="113"/>
      <c r="AC52" s="96" t="s">
        <v>98</v>
      </c>
      <c r="AF52" s="3" t="s">
        <v>99</v>
      </c>
      <c r="AG52" s="56"/>
      <c r="AH52" s="112">
        <f t="shared" ref="AH52:AM52" si="43">IF(AH35=0,0,(AH23*1000)/AH35)</f>
        <v>2.1341350478691559</v>
      </c>
      <c r="AI52" s="112">
        <f t="shared" si="43"/>
        <v>2.3639810348629902</v>
      </c>
      <c r="AJ52" s="112">
        <f t="shared" si="43"/>
        <v>1.9159020217800873</v>
      </c>
      <c r="AK52" s="112">
        <f t="shared" si="43"/>
        <v>8.2570156474143399</v>
      </c>
      <c r="AL52" s="112">
        <f t="shared" si="43"/>
        <v>606.90429578935732</v>
      </c>
      <c r="AM52" s="112">
        <f t="shared" si="43"/>
        <v>1.7002427770092106</v>
      </c>
      <c r="AN52" s="114"/>
      <c r="AO52" s="87"/>
      <c r="AT52" s="112">
        <f>IF(AT35=0,0,(AT23*1000)/AT35)</f>
        <v>7274.6233863648658</v>
      </c>
      <c r="AU52" s="112">
        <f>IF(AU35=0,0,(AU23*1000)/AU35)</f>
        <v>551.81291893958451</v>
      </c>
      <c r="AZ52" s="32"/>
      <c r="BA52" s="61">
        <f t="shared" si="9"/>
        <v>40</v>
      </c>
      <c r="BB52" s="113"/>
      <c r="BC52" s="96" t="s">
        <v>98</v>
      </c>
      <c r="BF52" s="3" t="s">
        <v>99</v>
      </c>
      <c r="BG52" s="56"/>
      <c r="BH52" s="112">
        <f t="shared" ref="BH52:BM52" si="44">IF(BH35=0,0,(BH23*1000)/BH35)</f>
        <v>2.1027705519336983</v>
      </c>
      <c r="BI52" s="112">
        <f t="shared" si="44"/>
        <v>2.3320369035256951</v>
      </c>
      <c r="BJ52" s="112">
        <f t="shared" si="44"/>
        <v>1.876662941483745</v>
      </c>
      <c r="BK52" s="112">
        <f t="shared" si="44"/>
        <v>8.3033275425326476</v>
      </c>
      <c r="BL52" s="112">
        <f t="shared" si="44"/>
        <v>604.65326178608075</v>
      </c>
      <c r="BM52" s="112">
        <f t="shared" si="44"/>
        <v>1.6587049066397459</v>
      </c>
      <c r="BN52" s="114"/>
      <c r="BO52" s="87"/>
      <c r="BT52" s="112">
        <f>IF(BT35=0,0,(BT23*1000)/BT35)</f>
        <v>7275.3200229909089</v>
      </c>
      <c r="BU52" s="112">
        <f>IF(BU35=0,0,(BU23*1000)/BU35)</f>
        <v>549.79562332453054</v>
      </c>
    </row>
    <row r="53" spans="1:73" x14ac:dyDescent="0.3">
      <c r="A53" s="61">
        <f t="shared" si="3"/>
        <v>41</v>
      </c>
      <c r="B53" s="113"/>
      <c r="C53" s="96" t="s">
        <v>71</v>
      </c>
      <c r="F53" s="3" t="s">
        <v>100</v>
      </c>
      <c r="G53" s="56"/>
      <c r="H53" s="112">
        <f t="shared" ref="H53:M53" si="45">IF(H32=0,0,(H24*1000)/H32)</f>
        <v>3.1051353611616794</v>
      </c>
      <c r="I53" s="112">
        <f t="shared" si="45"/>
        <v>4.3807622013530834</v>
      </c>
      <c r="J53" s="112">
        <f t="shared" si="45"/>
        <v>3.2019904000701356</v>
      </c>
      <c r="K53" s="112">
        <f t="shared" si="45"/>
        <v>15.034546008663174</v>
      </c>
      <c r="L53" s="112">
        <f t="shared" si="45"/>
        <v>362.67761138611581</v>
      </c>
      <c r="M53" s="112">
        <f t="shared" si="45"/>
        <v>179.10334118956629</v>
      </c>
      <c r="N53" s="114"/>
      <c r="O53" s="87"/>
      <c r="T53" s="112">
        <f>IF(T32=0,0,(T24*1000)/T32)</f>
        <v>833.25068782891685</v>
      </c>
      <c r="U53" s="112">
        <f>IF(U32=0,0,(U24*1000)/U32)</f>
        <v>340.79820532564821</v>
      </c>
      <c r="V53" s="112"/>
      <c r="Z53" s="32"/>
      <c r="AA53" s="61">
        <f t="shared" si="6"/>
        <v>41</v>
      </c>
      <c r="AB53" s="113"/>
      <c r="AC53" s="96" t="s">
        <v>71</v>
      </c>
      <c r="AF53" s="3" t="s">
        <v>100</v>
      </c>
      <c r="AG53" s="56"/>
      <c r="AH53" s="112">
        <f t="shared" ref="AH53:AM53" si="46">IF(AH32=0,0,(AH24*1000)/AH32)</f>
        <v>2.9559315517549929</v>
      </c>
      <c r="AI53" s="112">
        <f t="shared" si="46"/>
        <v>4.1633779494987229</v>
      </c>
      <c r="AJ53" s="112">
        <f t="shared" si="46"/>
        <v>3.0362234130440018</v>
      </c>
      <c r="AK53" s="112">
        <f t="shared" si="46"/>
        <v>14.384155206210744</v>
      </c>
      <c r="AL53" s="112">
        <f t="shared" si="46"/>
        <v>349.48424193312286</v>
      </c>
      <c r="AM53" s="112">
        <f t="shared" si="46"/>
        <v>169.53873096676901</v>
      </c>
      <c r="AN53" s="114"/>
      <c r="AO53" s="87"/>
      <c r="AT53" s="112">
        <f>IF(AT32=0,0,(AT24*1000)/AT32)</f>
        <v>803.1399866810624</v>
      </c>
      <c r="AU53" s="112">
        <f>IF(AU32=0,0,(AU24*1000)/AU32)</f>
        <v>328.4136906581864</v>
      </c>
      <c r="AZ53" s="32"/>
      <c r="BA53" s="61">
        <f t="shared" si="9"/>
        <v>41</v>
      </c>
      <c r="BB53" s="113"/>
      <c r="BC53" s="96" t="s">
        <v>71</v>
      </c>
      <c r="BF53" s="3" t="s">
        <v>100</v>
      </c>
      <c r="BG53" s="56"/>
      <c r="BH53" s="112">
        <f t="shared" ref="BH53:BM53" si="47">IF(BH32=0,0,(BH24*1000)/BH32)</f>
        <v>2.8089999845874871</v>
      </c>
      <c r="BI53" s="112">
        <f t="shared" si="47"/>
        <v>3.9513576338678442</v>
      </c>
      <c r="BJ53" s="112">
        <f t="shared" si="47"/>
        <v>2.8753488834766352</v>
      </c>
      <c r="BK53" s="112">
        <f t="shared" si="47"/>
        <v>13.741194075744257</v>
      </c>
      <c r="BL53" s="112">
        <f t="shared" si="47"/>
        <v>331.88481804001589</v>
      </c>
      <c r="BM53" s="112">
        <f t="shared" si="47"/>
        <v>160.29539414058644</v>
      </c>
      <c r="BN53" s="114"/>
      <c r="BO53" s="87"/>
      <c r="BT53" s="112">
        <f>IF(BT32=0,0,(BT24*1000)/BT32)</f>
        <v>763.49911521816625</v>
      </c>
      <c r="BU53" s="112">
        <f>IF(BU32=0,0,(BU24*1000)/BU32)</f>
        <v>311.89062665898808</v>
      </c>
    </row>
    <row r="54" spans="1:73" x14ac:dyDescent="0.3">
      <c r="A54" s="61">
        <f t="shared" si="3"/>
        <v>42</v>
      </c>
      <c r="B54" s="113"/>
      <c r="C54" s="96" t="s">
        <v>72</v>
      </c>
      <c r="F54" s="3" t="s">
        <v>101</v>
      </c>
      <c r="G54" s="56"/>
      <c r="H54" s="112">
        <f t="shared" ref="H54:M54" si="48">IF(H36=0,0,(H25*1000)/H36)</f>
        <v>0</v>
      </c>
      <c r="I54" s="112">
        <f t="shared" si="48"/>
        <v>0</v>
      </c>
      <c r="J54" s="112">
        <f t="shared" si="48"/>
        <v>0</v>
      </c>
      <c r="K54" s="112">
        <f t="shared" si="48"/>
        <v>0</v>
      </c>
      <c r="L54" s="112">
        <f t="shared" si="48"/>
        <v>209.44416980177226</v>
      </c>
      <c r="M54" s="112">
        <f t="shared" si="48"/>
        <v>0</v>
      </c>
      <c r="N54" s="114"/>
      <c r="O54" s="87"/>
      <c r="T54" s="112">
        <f>IF(T36=0,0,(T25*1000)/T36)</f>
        <v>3.4547053394118374</v>
      </c>
      <c r="U54" s="112">
        <f>IF(U36=0,0,(U25*1000)/U36)</f>
        <v>218.97000014532063</v>
      </c>
      <c r="Z54" s="32"/>
      <c r="AA54" s="61">
        <f t="shared" si="6"/>
        <v>42</v>
      </c>
      <c r="AB54" s="113"/>
      <c r="AC54" s="96" t="s">
        <v>72</v>
      </c>
      <c r="AF54" s="3" t="s">
        <v>101</v>
      </c>
      <c r="AG54" s="56"/>
      <c r="AH54" s="112">
        <f t="shared" ref="AH54:AM54" si="49">IF(AH36=0,0,(AH25*1000)/AH36)</f>
        <v>0</v>
      </c>
      <c r="AI54" s="112">
        <f t="shared" si="49"/>
        <v>0</v>
      </c>
      <c r="AJ54" s="112">
        <f t="shared" si="49"/>
        <v>0</v>
      </c>
      <c r="AK54" s="112">
        <f t="shared" si="49"/>
        <v>0</v>
      </c>
      <c r="AL54" s="112">
        <f t="shared" si="49"/>
        <v>209.83697051026417</v>
      </c>
      <c r="AM54" s="112">
        <f t="shared" si="49"/>
        <v>0</v>
      </c>
      <c r="AN54" s="114"/>
      <c r="AO54" s="87"/>
      <c r="AT54" s="112">
        <f>IF(AT36=0,0,(AT25*1000)/AT36)</f>
        <v>3.5622391217065208</v>
      </c>
      <c r="AU54" s="112">
        <f>IF(AU36=0,0,(AU25*1000)/AU36)</f>
        <v>219.37955956977595</v>
      </c>
      <c r="AZ54" s="32"/>
      <c r="BA54" s="61">
        <f t="shared" si="9"/>
        <v>42</v>
      </c>
      <c r="BB54" s="113"/>
      <c r="BC54" s="96" t="s">
        <v>72</v>
      </c>
      <c r="BF54" s="3" t="s">
        <v>101</v>
      </c>
      <c r="BG54" s="56"/>
      <c r="BH54" s="112">
        <f t="shared" ref="BH54:BM54" si="50">IF(BH36=0,0,(BH25*1000)/BH36)</f>
        <v>0</v>
      </c>
      <c r="BI54" s="112">
        <f t="shared" si="50"/>
        <v>0</v>
      </c>
      <c r="BJ54" s="112">
        <f t="shared" si="50"/>
        <v>0</v>
      </c>
      <c r="BK54" s="112">
        <f t="shared" si="50"/>
        <v>0</v>
      </c>
      <c r="BL54" s="112">
        <f t="shared" si="50"/>
        <v>231.78486564093006</v>
      </c>
      <c r="BM54" s="112">
        <f t="shared" si="50"/>
        <v>0</v>
      </c>
      <c r="BN54" s="114"/>
      <c r="BO54" s="87"/>
      <c r="BT54" s="112">
        <f>IF(BT36=0,0,(BT25*1000)/BT36)</f>
        <v>3.9037217158160256</v>
      </c>
      <c r="BU54" s="112">
        <f>IF(BU36=0,0,(BU25*1000)/BU36)</f>
        <v>242.34127962803589</v>
      </c>
    </row>
    <row r="55" spans="1:73" x14ac:dyDescent="0.3">
      <c r="A55" s="61">
        <f t="shared" si="3"/>
        <v>43</v>
      </c>
      <c r="B55" s="113"/>
      <c r="C55" s="96" t="s">
        <v>75</v>
      </c>
      <c r="F55" s="3" t="s">
        <v>102</v>
      </c>
      <c r="G55" s="56"/>
      <c r="H55" s="112">
        <f>IF(H34=0,0,(H27*1000)/H34)</f>
        <v>7.7931354659803524</v>
      </c>
      <c r="I55" s="112">
        <f>IF(I34=0,0,(I27*1000)/I34)</f>
        <v>8.3908598756974442</v>
      </c>
      <c r="J55" s="112">
        <f>IF(J34=0,0,(J27*1000)/J34)</f>
        <v>7.2512266922195598</v>
      </c>
      <c r="K55" s="112">
        <f>IF(K34=0,0,(K27*1000)/K34)</f>
        <v>23.329684982723119</v>
      </c>
      <c r="L55" s="115" t="s">
        <v>93</v>
      </c>
      <c r="M55" s="112">
        <f>IF(M34=0,0,(M27*1000)/M34)</f>
        <v>6.6986707781574726</v>
      </c>
      <c r="N55" s="114"/>
      <c r="O55" s="87"/>
      <c r="T55" s="115" t="s">
        <v>93</v>
      </c>
      <c r="U55" s="115" t="s">
        <v>93</v>
      </c>
      <c r="V55" s="115"/>
      <c r="Z55" s="32"/>
      <c r="AA55" s="61">
        <f t="shared" si="6"/>
        <v>43</v>
      </c>
      <c r="AB55" s="113"/>
      <c r="AC55" s="96" t="s">
        <v>75</v>
      </c>
      <c r="AF55" s="3" t="s">
        <v>102</v>
      </c>
      <c r="AG55" s="56"/>
      <c r="AH55" s="112">
        <f>IF(AH34=0,0,(AH27*1000)/AH34)</f>
        <v>7.6811743692053316</v>
      </c>
      <c r="AI55" s="112">
        <f>IF(AI34=0,0,(AI27*1000)/AI34)</f>
        <v>8.2691960921598628</v>
      </c>
      <c r="AJ55" s="112">
        <f>IF(AJ34=0,0,(AJ27*1000)/AJ34)</f>
        <v>7.1207388031285905</v>
      </c>
      <c r="AK55" s="112">
        <f>IF(AK34=0,0,(AK27*1000)/AK34)</f>
        <v>23.268736584132672</v>
      </c>
      <c r="AL55" s="115" t="s">
        <v>93</v>
      </c>
      <c r="AM55" s="112">
        <f>IF(AM34=0,0,(AM27*1000)/AM34)</f>
        <v>6.56691286262443</v>
      </c>
      <c r="AN55" s="114"/>
      <c r="AO55" s="87"/>
      <c r="AT55" s="115" t="s">
        <v>93</v>
      </c>
      <c r="AU55" s="115" t="s">
        <v>93</v>
      </c>
      <c r="BA55" s="61">
        <f t="shared" si="9"/>
        <v>43</v>
      </c>
      <c r="BB55" s="113"/>
      <c r="BC55" s="96" t="s">
        <v>75</v>
      </c>
      <c r="BF55" s="3" t="s">
        <v>102</v>
      </c>
      <c r="BG55" s="56"/>
      <c r="BH55" s="112">
        <f>IF(BH34=0,0,(BH27*1000)/BH34)</f>
        <v>7.7004827385012744</v>
      </c>
      <c r="BI55" s="112">
        <f>IF(BI34=0,0,(BI27*1000)/BI34)</f>
        <v>8.2930104127343629</v>
      </c>
      <c r="BJ55" s="112">
        <f>IF(BJ34=0,0,(BJ27*1000)/BJ34)</f>
        <v>7.1138569124995223</v>
      </c>
      <c r="BK55" s="112">
        <f>IF(BK34=0,0,(BK27*1000)/BK34)</f>
        <v>23.647894845664798</v>
      </c>
      <c r="BL55" s="115" t="s">
        <v>93</v>
      </c>
      <c r="BM55" s="112">
        <f>IF(BM34=0,0,(BM27*1000)/BM34)</f>
        <v>6.5483747866673179</v>
      </c>
      <c r="BN55" s="114"/>
      <c r="BO55" s="87"/>
      <c r="BT55" s="115" t="s">
        <v>93</v>
      </c>
      <c r="BU55" s="115" t="s">
        <v>93</v>
      </c>
    </row>
    <row r="56" spans="1:73" x14ac:dyDescent="0.3">
      <c r="A56" s="61">
        <f t="shared" si="3"/>
        <v>44</v>
      </c>
      <c r="B56" s="113"/>
      <c r="C56" s="92" t="s">
        <v>103</v>
      </c>
      <c r="G56" s="56"/>
      <c r="H56" s="117">
        <f t="shared" ref="H56:M56" si="51">SUM(H50:H55)</f>
        <v>43.699811889244685</v>
      </c>
      <c r="I56" s="117">
        <f t="shared" si="51"/>
        <v>53.647981053104218</v>
      </c>
      <c r="J56" s="117">
        <f t="shared" si="51"/>
        <v>26.03502915271617</v>
      </c>
      <c r="K56" s="117">
        <f t="shared" si="51"/>
        <v>424.42488014525242</v>
      </c>
      <c r="L56" s="117">
        <f t="shared" si="51"/>
        <v>13315.558150815512</v>
      </c>
      <c r="M56" s="117">
        <f t="shared" si="51"/>
        <v>196.28199446995271</v>
      </c>
      <c r="N56" s="114"/>
      <c r="O56" s="87"/>
      <c r="T56" s="117">
        <f>SUM(T50:T55)</f>
        <v>43620.179875315567</v>
      </c>
      <c r="U56" s="117">
        <f>SUM(U50:U55)</f>
        <v>12160.285246564545</v>
      </c>
      <c r="V56" s="116"/>
      <c r="Z56" s="32"/>
      <c r="AA56" s="61">
        <f t="shared" si="6"/>
        <v>44</v>
      </c>
      <c r="AB56" s="113"/>
      <c r="AC56" s="92" t="s">
        <v>103</v>
      </c>
      <c r="AG56" s="56"/>
      <c r="AH56" s="117">
        <f t="shared" ref="AH56:AM56" si="52">SUM(AH50:AH55)</f>
        <v>42.453048344002958</v>
      </c>
      <c r="AI56" s="117">
        <f t="shared" si="52"/>
        <v>52.658759002207788</v>
      </c>
      <c r="AJ56" s="117">
        <f t="shared" si="52"/>
        <v>25.401403767949382</v>
      </c>
      <c r="AK56" s="117">
        <f t="shared" si="52"/>
        <v>417.55210035705142</v>
      </c>
      <c r="AL56" s="117">
        <f t="shared" si="52"/>
        <v>13074.28410518756</v>
      </c>
      <c r="AM56" s="117">
        <f t="shared" si="52"/>
        <v>186.33860036120012</v>
      </c>
      <c r="AN56" s="114"/>
      <c r="AO56" s="87"/>
      <c r="AT56" s="117">
        <f>SUM(AT50:AT55)</f>
        <v>42964.945117430041</v>
      </c>
      <c r="AU56" s="117">
        <f>SUM(AU50:AU55)</f>
        <v>11940.538999958191</v>
      </c>
      <c r="AZ56" s="32"/>
      <c r="BA56" s="61">
        <f t="shared" si="9"/>
        <v>44</v>
      </c>
      <c r="BB56" s="113"/>
      <c r="BC56" s="92" t="s">
        <v>103</v>
      </c>
      <c r="BG56" s="56"/>
      <c r="BH56" s="117">
        <f t="shared" ref="BH56:BM56" si="53">SUM(BH50:BH55)</f>
        <v>41.808473532263541</v>
      </c>
      <c r="BI56" s="117">
        <f t="shared" si="53"/>
        <v>51.409177297965847</v>
      </c>
      <c r="BJ56" s="117">
        <f t="shared" si="53"/>
        <v>24.844404650835948</v>
      </c>
      <c r="BK56" s="117">
        <f t="shared" si="53"/>
        <v>405.72726742695301</v>
      </c>
      <c r="BL56" s="117">
        <f t="shared" si="53"/>
        <v>12511.189976856183</v>
      </c>
      <c r="BM56" s="117">
        <f t="shared" si="53"/>
        <v>176.7938412202881</v>
      </c>
      <c r="BN56" s="114"/>
      <c r="BO56" s="87"/>
      <c r="BT56" s="117">
        <f>SUM(BT50:BT55)</f>
        <v>41172.404251606982</v>
      </c>
      <c r="BU56" s="117">
        <f>SUM(BU50:BU55)</f>
        <v>11437.637595347362</v>
      </c>
    </row>
    <row r="57" spans="1:73" x14ac:dyDescent="0.3">
      <c r="A57" s="61">
        <f t="shared" si="3"/>
        <v>45</v>
      </c>
      <c r="B57" s="111"/>
      <c r="C57" s="90" t="s">
        <v>104</v>
      </c>
      <c r="G57" s="56"/>
      <c r="H57" s="118"/>
      <c r="I57" s="118"/>
      <c r="J57" s="118"/>
      <c r="K57" s="118"/>
      <c r="L57" s="118"/>
      <c r="M57" s="118"/>
      <c r="N57" s="119"/>
      <c r="O57" s="87"/>
      <c r="U57" s="119"/>
      <c r="Z57" s="32"/>
      <c r="AA57" s="61">
        <f t="shared" si="6"/>
        <v>45</v>
      </c>
      <c r="AB57" s="111"/>
      <c r="AC57" s="90" t="s">
        <v>104</v>
      </c>
      <c r="AG57" s="56"/>
      <c r="AH57" s="118"/>
      <c r="AI57" s="118"/>
      <c r="AJ57" s="118"/>
      <c r="AK57" s="118"/>
      <c r="AL57" s="118"/>
      <c r="AM57" s="118"/>
      <c r="AN57" s="119"/>
      <c r="AO57" s="87"/>
      <c r="AU57" s="119"/>
      <c r="AZ57" s="32"/>
      <c r="BA57" s="61">
        <f t="shared" si="9"/>
        <v>45</v>
      </c>
      <c r="BB57" s="111"/>
      <c r="BC57" s="90" t="s">
        <v>104</v>
      </c>
      <c r="BG57" s="56"/>
      <c r="BH57" s="118"/>
      <c r="BI57" s="118"/>
      <c r="BJ57" s="118"/>
      <c r="BK57" s="118"/>
      <c r="BL57" s="118"/>
      <c r="BM57" s="118"/>
      <c r="BN57" s="119"/>
      <c r="BO57" s="87"/>
      <c r="BU57" s="119"/>
    </row>
    <row r="58" spans="1:73" x14ac:dyDescent="0.3">
      <c r="A58" s="61">
        <f t="shared" si="3"/>
        <v>46</v>
      </c>
      <c r="B58" s="56"/>
      <c r="C58" s="63" t="s">
        <v>63</v>
      </c>
      <c r="F58" s="3" t="s">
        <v>105</v>
      </c>
      <c r="G58" s="56"/>
      <c r="H58" s="112">
        <f t="shared" ref="H58:M58" si="54">+(H17*1000)/H38</f>
        <v>7.101441515866699</v>
      </c>
      <c r="I58" s="112">
        <f t="shared" si="54"/>
        <v>8.4683126832922273</v>
      </c>
      <c r="J58" s="112">
        <f t="shared" si="54"/>
        <v>5.3188916189617279</v>
      </c>
      <c r="K58" s="112">
        <f t="shared" si="54"/>
        <v>4.8402379382025265</v>
      </c>
      <c r="L58" s="112">
        <f t="shared" si="54"/>
        <v>3.8422631717890754</v>
      </c>
      <c r="M58" s="112">
        <f t="shared" si="54"/>
        <v>7.9602048452250793</v>
      </c>
      <c r="N58" s="114"/>
      <c r="O58" s="87"/>
      <c r="T58" s="112">
        <f>+(T17*1000)/T38</f>
        <v>5.3374331006067921</v>
      </c>
      <c r="U58" s="112">
        <f>+(U17*1000)/U38</f>
        <v>3.7226277947922859</v>
      </c>
      <c r="Z58" s="32"/>
      <c r="AA58" s="61">
        <f t="shared" si="6"/>
        <v>46</v>
      </c>
      <c r="AB58" s="56"/>
      <c r="AC58" s="63" t="s">
        <v>63</v>
      </c>
      <c r="AF58" s="3" t="s">
        <v>105</v>
      </c>
      <c r="AG58" s="56"/>
      <c r="AH58" s="112">
        <f t="shared" ref="AH58:AM58" si="55">+(AH17*1000)/AH38</f>
        <v>6.7077076400195867</v>
      </c>
      <c r="AI58" s="112">
        <f t="shared" si="55"/>
        <v>8.0331699820054929</v>
      </c>
      <c r="AJ58" s="112">
        <f t="shared" si="55"/>
        <v>4.9389098888981096</v>
      </c>
      <c r="AK58" s="112">
        <f t="shared" si="55"/>
        <v>4.4112055315219356</v>
      </c>
      <c r="AL58" s="112">
        <f t="shared" si="55"/>
        <v>3.4573625141306441</v>
      </c>
      <c r="AM58" s="112">
        <f t="shared" si="55"/>
        <v>7.6664006833288481</v>
      </c>
      <c r="AN58" s="114"/>
      <c r="AO58" s="87"/>
      <c r="AT58" s="112">
        <f>+(AT17*1000)/AT38</f>
        <v>4.9548016843808176</v>
      </c>
      <c r="AU58" s="112">
        <f>+(AU17*1000)/AU38</f>
        <v>3.3375829191803725</v>
      </c>
      <c r="AZ58" s="32"/>
      <c r="BA58" s="61">
        <f t="shared" si="9"/>
        <v>46</v>
      </c>
      <c r="BB58" s="56"/>
      <c r="BC58" s="63" t="s">
        <v>63</v>
      </c>
      <c r="BF58" s="3" t="s">
        <v>105</v>
      </c>
      <c r="BG58" s="56"/>
      <c r="BH58" s="112">
        <f t="shared" ref="BH58:BM58" si="56">+(BH17*1000)/BH38</f>
        <v>6.7445503204127091</v>
      </c>
      <c r="BI58" s="112">
        <f t="shared" si="56"/>
        <v>8.0946728104120176</v>
      </c>
      <c r="BJ58" s="112">
        <f t="shared" si="56"/>
        <v>4.9496331007950802</v>
      </c>
      <c r="BK58" s="112">
        <f t="shared" si="56"/>
        <v>4.4437643029656755</v>
      </c>
      <c r="BL58" s="112">
        <f t="shared" si="56"/>
        <v>3.4793964853528374</v>
      </c>
      <c r="BM58" s="112">
        <f t="shared" si="56"/>
        <v>7.6692608487446341</v>
      </c>
      <c r="BN58" s="114"/>
      <c r="BO58" s="87"/>
      <c r="BT58" s="112">
        <f>+(BT17*1000)/BT38</f>
        <v>4.9793520643093956</v>
      </c>
      <c r="BU58" s="112">
        <f>+(BU17*1000)/BU38</f>
        <v>3.3595775836404118</v>
      </c>
    </row>
    <row r="59" spans="1:73" x14ac:dyDescent="0.3">
      <c r="A59" s="61">
        <f t="shared" si="3"/>
        <v>47</v>
      </c>
      <c r="B59" s="113"/>
      <c r="C59" s="92" t="s">
        <v>106</v>
      </c>
      <c r="G59" s="56"/>
      <c r="H59" s="117">
        <f t="shared" ref="H59:M59" si="57">SUM(H57:H58)</f>
        <v>7.101441515866699</v>
      </c>
      <c r="I59" s="117">
        <f t="shared" si="57"/>
        <v>8.4683126832922273</v>
      </c>
      <c r="J59" s="117">
        <f t="shared" si="57"/>
        <v>5.3188916189617279</v>
      </c>
      <c r="K59" s="117">
        <f t="shared" si="57"/>
        <v>4.8402379382025265</v>
      </c>
      <c r="L59" s="117">
        <f t="shared" si="57"/>
        <v>3.8422631717890754</v>
      </c>
      <c r="M59" s="117">
        <f t="shared" si="57"/>
        <v>7.9602048452250793</v>
      </c>
      <c r="N59" s="114"/>
      <c r="O59" s="87"/>
      <c r="T59" s="117">
        <f>SUM(T57:T58)</f>
        <v>5.3374331006067921</v>
      </c>
      <c r="U59" s="117">
        <f>SUM(U57:U58)</f>
        <v>3.7226277947922859</v>
      </c>
      <c r="V59" s="116"/>
      <c r="Z59" s="32"/>
      <c r="AA59" s="61">
        <f t="shared" si="6"/>
        <v>47</v>
      </c>
      <c r="AB59" s="113"/>
      <c r="AC59" s="92" t="s">
        <v>106</v>
      </c>
      <c r="AG59" s="56"/>
      <c r="AH59" s="117">
        <f t="shared" ref="AH59:AM59" si="58">SUM(AH57:AH58)</f>
        <v>6.7077076400195867</v>
      </c>
      <c r="AI59" s="117">
        <f t="shared" si="58"/>
        <v>8.0331699820054929</v>
      </c>
      <c r="AJ59" s="117">
        <f t="shared" si="58"/>
        <v>4.9389098888981096</v>
      </c>
      <c r="AK59" s="117">
        <f t="shared" si="58"/>
        <v>4.4112055315219356</v>
      </c>
      <c r="AL59" s="117">
        <f t="shared" si="58"/>
        <v>3.4573625141306441</v>
      </c>
      <c r="AM59" s="117">
        <f t="shared" si="58"/>
        <v>7.6664006833288481</v>
      </c>
      <c r="AN59" s="114"/>
      <c r="AO59" s="87"/>
      <c r="AT59" s="117">
        <f>SUM(AT57:AT58)</f>
        <v>4.9548016843808176</v>
      </c>
      <c r="AU59" s="117">
        <f>SUM(AU57:AU58)</f>
        <v>3.3375829191803725</v>
      </c>
      <c r="AZ59" s="32"/>
      <c r="BA59" s="61">
        <f t="shared" si="9"/>
        <v>47</v>
      </c>
      <c r="BB59" s="113"/>
      <c r="BC59" s="92" t="s">
        <v>106</v>
      </c>
      <c r="BG59" s="56"/>
      <c r="BH59" s="117">
        <f t="shared" ref="BH59:BM59" si="59">SUM(BH57:BH58)</f>
        <v>6.7445503204127091</v>
      </c>
      <c r="BI59" s="117">
        <f t="shared" si="59"/>
        <v>8.0946728104120176</v>
      </c>
      <c r="BJ59" s="117">
        <f t="shared" si="59"/>
        <v>4.9496331007950802</v>
      </c>
      <c r="BK59" s="117">
        <f t="shared" si="59"/>
        <v>4.4437643029656755</v>
      </c>
      <c r="BL59" s="117">
        <f t="shared" si="59"/>
        <v>3.4793964853528374</v>
      </c>
      <c r="BM59" s="117">
        <f t="shared" si="59"/>
        <v>7.6692608487446341</v>
      </c>
      <c r="BN59" s="114"/>
      <c r="BO59" s="87"/>
      <c r="BT59" s="117">
        <f>SUM(BT57:BT58)</f>
        <v>4.9793520643093956</v>
      </c>
      <c r="BU59" s="117">
        <f>SUM(BU57:BU58)</f>
        <v>3.3595775836404118</v>
      </c>
    </row>
    <row r="60" spans="1:73" x14ac:dyDescent="0.3">
      <c r="A60" s="61">
        <f t="shared" si="3"/>
        <v>48</v>
      </c>
      <c r="B60" s="56"/>
      <c r="C60" s="90" t="s">
        <v>107</v>
      </c>
      <c r="G60" s="56"/>
      <c r="H60" s="118"/>
      <c r="I60" s="118"/>
      <c r="J60" s="118"/>
      <c r="K60" s="118"/>
      <c r="L60" s="118"/>
      <c r="M60" s="118"/>
      <c r="N60" s="118"/>
      <c r="O60" s="87"/>
      <c r="T60" s="118"/>
      <c r="U60" s="118"/>
      <c r="Z60" s="32"/>
      <c r="AA60" s="61">
        <f t="shared" si="6"/>
        <v>48</v>
      </c>
      <c r="AB60" s="56"/>
      <c r="AC60" s="90" t="s">
        <v>107</v>
      </c>
      <c r="AG60" s="56"/>
      <c r="AH60" s="118"/>
      <c r="AI60" s="118"/>
      <c r="AJ60" s="118"/>
      <c r="AK60" s="118"/>
      <c r="AL60" s="118"/>
      <c r="AM60" s="118"/>
      <c r="AN60" s="118"/>
      <c r="AO60" s="87"/>
      <c r="AT60" s="118"/>
      <c r="AU60" s="118"/>
      <c r="AZ60" s="32"/>
      <c r="BA60" s="61">
        <f t="shared" si="9"/>
        <v>48</v>
      </c>
      <c r="BB60" s="56"/>
      <c r="BC60" s="90" t="s">
        <v>107</v>
      </c>
      <c r="BG60" s="56"/>
      <c r="BH60" s="118"/>
      <c r="BI60" s="118"/>
      <c r="BJ60" s="118"/>
      <c r="BK60" s="118"/>
      <c r="BL60" s="118"/>
      <c r="BM60" s="118"/>
      <c r="BN60" s="118"/>
      <c r="BO60" s="87"/>
      <c r="BT60" s="118"/>
      <c r="BU60" s="118"/>
    </row>
    <row r="61" spans="1:73" x14ac:dyDescent="0.3">
      <c r="A61" s="61">
        <f t="shared" si="3"/>
        <v>49</v>
      </c>
      <c r="B61" s="56"/>
      <c r="C61" s="63" t="s">
        <v>108</v>
      </c>
      <c r="F61" s="3" t="s">
        <v>109</v>
      </c>
      <c r="G61" s="56"/>
      <c r="H61" s="112">
        <f t="shared" ref="H61:M61" si="60">+(H14*1000)/H38</f>
        <v>36.94344425251554</v>
      </c>
      <c r="I61" s="112">
        <f t="shared" si="60"/>
        <v>29.578769627915747</v>
      </c>
      <c r="J61" s="112">
        <f t="shared" si="60"/>
        <v>19.295182803169297</v>
      </c>
      <c r="K61" s="112">
        <f t="shared" si="60"/>
        <v>24.713658954294846</v>
      </c>
      <c r="L61" s="112">
        <f t="shared" si="60"/>
        <v>18.766670792158365</v>
      </c>
      <c r="M61" s="112">
        <f t="shared" si="60"/>
        <v>1.2971034364839087</v>
      </c>
      <c r="N61" s="114"/>
      <c r="O61" s="87"/>
      <c r="T61" s="112">
        <f>+(T14*1000)/T38</f>
        <v>16.773263719720465</v>
      </c>
      <c r="U61" s="112">
        <f>+(U14*1000)/U38</f>
        <v>18.92617239931532</v>
      </c>
      <c r="Z61" s="32"/>
      <c r="AA61" s="61">
        <f t="shared" si="6"/>
        <v>49</v>
      </c>
      <c r="AB61" s="56"/>
      <c r="AC61" s="63" t="s">
        <v>108</v>
      </c>
      <c r="AF61" s="3" t="s">
        <v>109</v>
      </c>
      <c r="AG61" s="56"/>
      <c r="AH61" s="112">
        <f t="shared" ref="AH61:AM61" si="61">+(AH14*1000)/AH38</f>
        <v>35.870474880985753</v>
      </c>
      <c r="AI61" s="112">
        <f t="shared" si="61"/>
        <v>29.713837102345448</v>
      </c>
      <c r="AJ61" s="112">
        <f t="shared" si="61"/>
        <v>19.323105512640957</v>
      </c>
      <c r="AK61" s="112">
        <f t="shared" si="61"/>
        <v>24.818632877073448</v>
      </c>
      <c r="AL61" s="112">
        <f t="shared" si="61"/>
        <v>18.854546526411525</v>
      </c>
      <c r="AM61" s="112">
        <f t="shared" si="61"/>
        <v>1.2634888926615842</v>
      </c>
      <c r="AN61" s="114"/>
      <c r="AO61" s="87"/>
      <c r="AT61" s="112">
        <f>+(AT14*1000)/AT38</f>
        <v>16.892922190048548</v>
      </c>
      <c r="AU61" s="112">
        <f>+(AU14*1000)/AU38</f>
        <v>19.011456117880869</v>
      </c>
      <c r="AZ61" s="32"/>
      <c r="BA61" s="61">
        <f t="shared" si="9"/>
        <v>49</v>
      </c>
      <c r="BB61" s="56"/>
      <c r="BC61" s="63" t="s">
        <v>108</v>
      </c>
      <c r="BF61" s="3" t="s">
        <v>109</v>
      </c>
      <c r="BG61" s="56"/>
      <c r="BH61" s="112">
        <f t="shared" ref="BH61:BM61" si="62">+(BH14*1000)/BH38</f>
        <v>34.974005295686418</v>
      </c>
      <c r="BI61" s="112">
        <f t="shared" si="62"/>
        <v>28.854751987860126</v>
      </c>
      <c r="BJ61" s="112">
        <f t="shared" si="62"/>
        <v>18.824470021494754</v>
      </c>
      <c r="BK61" s="112">
        <f t="shared" si="62"/>
        <v>24.108111700776711</v>
      </c>
      <c r="BL61" s="112">
        <f t="shared" si="62"/>
        <v>18.326294586454697</v>
      </c>
      <c r="BM61" s="112">
        <f t="shared" si="62"/>
        <v>1.2291584123803099</v>
      </c>
      <c r="BN61" s="114"/>
      <c r="BO61" s="87"/>
      <c r="BT61" s="112">
        <f>+(BT14*1000)/BT38</f>
        <v>16.418656327362317</v>
      </c>
      <c r="BU61" s="112">
        <f>+(BU14*1000)/BU38</f>
        <v>18.47867984657557</v>
      </c>
    </row>
    <row r="62" spans="1:73" x14ac:dyDescent="0.3">
      <c r="A62" s="61">
        <f t="shared" si="3"/>
        <v>50</v>
      </c>
      <c r="B62" s="56"/>
      <c r="C62" s="120" t="s">
        <v>110</v>
      </c>
      <c r="F62" s="3" t="s">
        <v>111</v>
      </c>
      <c r="G62" s="56"/>
      <c r="H62" s="112">
        <f t="shared" ref="H62:M62" si="63">+(H15*1000)/H38</f>
        <v>2.5968439264276961</v>
      </c>
      <c r="I62" s="112">
        <f t="shared" si="63"/>
        <v>2.5347184602354127</v>
      </c>
      <c r="J62" s="112">
        <f t="shared" si="63"/>
        <v>2.528452477696137</v>
      </c>
      <c r="K62" s="112">
        <f t="shared" si="63"/>
        <v>2.5305171691331538</v>
      </c>
      <c r="L62" s="112">
        <f t="shared" si="63"/>
        <v>2.5113583017161707</v>
      </c>
      <c r="M62" s="112">
        <f t="shared" si="63"/>
        <v>2.5421992304435967</v>
      </c>
      <c r="N62" s="114"/>
      <c r="O62" s="87"/>
      <c r="T62" s="112">
        <f>+(T15*1000)/T38</f>
        <v>2.5049200451547056</v>
      </c>
      <c r="U62" s="112">
        <f>+(U15*1000)/U38</f>
        <v>2.5118734560381566</v>
      </c>
      <c r="Z62" s="32"/>
      <c r="AA62" s="61">
        <f t="shared" si="6"/>
        <v>50</v>
      </c>
      <c r="AB62" s="56"/>
      <c r="AC62" s="120" t="s">
        <v>110</v>
      </c>
      <c r="AF62" s="3" t="s">
        <v>111</v>
      </c>
      <c r="AG62" s="56"/>
      <c r="AH62" s="112">
        <f t="shared" ref="AH62:AM62" si="64">+(AH15*1000)/AH38</f>
        <v>2.5147006915203143</v>
      </c>
      <c r="AI62" s="112">
        <f t="shared" si="64"/>
        <v>2.5395157172007026</v>
      </c>
      <c r="AJ62" s="112">
        <f t="shared" si="64"/>
        <v>2.5346666181704944</v>
      </c>
      <c r="AK62" s="112">
        <f t="shared" si="64"/>
        <v>2.5342438741600715</v>
      </c>
      <c r="AL62" s="112">
        <f t="shared" si="64"/>
        <v>2.5170777906849979</v>
      </c>
      <c r="AM62" s="112">
        <f t="shared" si="64"/>
        <v>2.5360027059850352</v>
      </c>
      <c r="AN62" s="114"/>
      <c r="AO62" s="87"/>
      <c r="AT62" s="112">
        <f>+(AT15*1000)/AT38</f>
        <v>2.5157643597178194</v>
      </c>
      <c r="AU62" s="112">
        <f>+(AU15*1000)/AU38</f>
        <v>2.5171828515331254</v>
      </c>
      <c r="AZ62" s="32"/>
      <c r="BA62" s="61">
        <f t="shared" si="9"/>
        <v>50</v>
      </c>
      <c r="BB62" s="56"/>
      <c r="BC62" s="120" t="s">
        <v>110</v>
      </c>
      <c r="BF62" s="3" t="s">
        <v>111</v>
      </c>
      <c r="BG62" s="56"/>
      <c r="BH62" s="112">
        <f t="shared" ref="BH62:BM62" si="65">+(BH15*1000)/BH38</f>
        <v>2.4542930419597471</v>
      </c>
      <c r="BI62" s="112">
        <f t="shared" si="65"/>
        <v>2.4697532875420558</v>
      </c>
      <c r="BJ62" s="112">
        <f t="shared" si="65"/>
        <v>2.4736200331393681</v>
      </c>
      <c r="BK62" s="112">
        <f t="shared" si="65"/>
        <v>2.4640238446805069</v>
      </c>
      <c r="BL62" s="112">
        <f t="shared" si="65"/>
        <v>2.4472984443702259</v>
      </c>
      <c r="BM62" s="112">
        <f t="shared" si="65"/>
        <v>2.4725928693827677</v>
      </c>
      <c r="BN62" s="114"/>
      <c r="BO62" s="87"/>
      <c r="BT62" s="112">
        <f>+(BT15*1000)/BT38</f>
        <v>2.4409257284077039</v>
      </c>
      <c r="BU62" s="112">
        <f>+(BU15*1000)/BU38</f>
        <v>2.44780750733067</v>
      </c>
    </row>
    <row r="63" spans="1:73" x14ac:dyDescent="0.3">
      <c r="A63" s="61">
        <f t="shared" si="3"/>
        <v>51</v>
      </c>
      <c r="B63" s="56"/>
      <c r="C63" s="63" t="s">
        <v>64</v>
      </c>
      <c r="F63" s="3" t="s">
        <v>112</v>
      </c>
      <c r="G63" s="56"/>
      <c r="H63" s="112">
        <f t="shared" ref="H63:M64" si="66">+(H18*1000)/H38</f>
        <v>16.312890674223869</v>
      </c>
      <c r="I63" s="112">
        <f t="shared" si="66"/>
        <v>13.721001149636939</v>
      </c>
      <c r="J63" s="112">
        <f t="shared" si="66"/>
        <v>8.3888804789200968</v>
      </c>
      <c r="K63" s="112">
        <f t="shared" si="66"/>
        <v>10.494845983293091</v>
      </c>
      <c r="L63" s="112">
        <f t="shared" si="66"/>
        <v>7.6916727698811806</v>
      </c>
      <c r="M63" s="112">
        <f t="shared" si="66"/>
        <v>1.7310046693594288</v>
      </c>
      <c r="N63" s="114"/>
      <c r="O63" s="87"/>
      <c r="T63" s="112">
        <f>+(T18*1000)/T38</f>
        <v>7.3492556255283823</v>
      </c>
      <c r="U63" s="112">
        <f>+(U18*1000)/U38</f>
        <v>7.7190711300041697</v>
      </c>
      <c r="Z63" s="32"/>
      <c r="AA63" s="61">
        <f t="shared" si="6"/>
        <v>51</v>
      </c>
      <c r="AB63" s="56"/>
      <c r="AC63" s="63" t="s">
        <v>64</v>
      </c>
      <c r="AF63" s="3" t="s">
        <v>112</v>
      </c>
      <c r="AG63" s="56"/>
      <c r="AH63" s="112">
        <f t="shared" ref="AH63:AM64" si="67">+(AH18*1000)/AH38</f>
        <v>15.729232009734966</v>
      </c>
      <c r="AI63" s="112">
        <f t="shared" si="67"/>
        <v>13.60800279911245</v>
      </c>
      <c r="AJ63" s="112">
        <f t="shared" si="67"/>
        <v>8.2891977835999313</v>
      </c>
      <c r="AK63" s="112">
        <f t="shared" si="67"/>
        <v>10.388950642698857</v>
      </c>
      <c r="AL63" s="112">
        <f t="shared" si="67"/>
        <v>7.6158026307808298</v>
      </c>
      <c r="AM63" s="112">
        <f t="shared" si="67"/>
        <v>1.7179802298016931</v>
      </c>
      <c r="AN63" s="114"/>
      <c r="AO63" s="87"/>
      <c r="AT63" s="112">
        <f>+(AT18*1000)/AT38</f>
        <v>7.2994709502651016</v>
      </c>
      <c r="AU63" s="112">
        <f>+(AU18*1000)/AU38</f>
        <v>7.6411058827024307</v>
      </c>
      <c r="AZ63" s="32"/>
      <c r="BA63" s="61">
        <f t="shared" si="9"/>
        <v>51</v>
      </c>
      <c r="BB63" s="56"/>
      <c r="BC63" s="63" t="s">
        <v>64</v>
      </c>
      <c r="BF63" s="3" t="s">
        <v>112</v>
      </c>
      <c r="BG63" s="56"/>
      <c r="BH63" s="112">
        <f t="shared" ref="BH63:BM64" si="68">+(BH18*1000)/BH38</f>
        <v>15.060487678714876</v>
      </c>
      <c r="BI63" s="112">
        <f t="shared" si="68"/>
        <v>13.011990370488446</v>
      </c>
      <c r="BJ63" s="112">
        <f t="shared" si="68"/>
        <v>7.927386521340849</v>
      </c>
      <c r="BK63" s="112">
        <f t="shared" si="68"/>
        <v>9.905283917602512</v>
      </c>
      <c r="BL63" s="112">
        <f t="shared" si="68"/>
        <v>7.2580448442896053</v>
      </c>
      <c r="BM63" s="112">
        <f t="shared" si="68"/>
        <v>1.6781231996586341</v>
      </c>
      <c r="BN63" s="114"/>
      <c r="BO63" s="87"/>
      <c r="BT63" s="112">
        <f>+(BT18*1000)/BT38</f>
        <v>6.9733231979371402</v>
      </c>
      <c r="BU63" s="112">
        <f>+(BU18*1000)/BU38</f>
        <v>7.2807888744717788</v>
      </c>
    </row>
    <row r="64" spans="1:73" x14ac:dyDescent="0.3">
      <c r="A64" s="61">
        <f t="shared" si="3"/>
        <v>52</v>
      </c>
      <c r="B64" s="56"/>
      <c r="C64" s="63" t="s">
        <v>65</v>
      </c>
      <c r="F64" s="3" t="s">
        <v>113</v>
      </c>
      <c r="G64" s="56"/>
      <c r="H64" s="112">
        <f t="shared" si="66"/>
        <v>22.044091601127743</v>
      </c>
      <c r="I64" s="112">
        <f t="shared" si="66"/>
        <v>19.492311599238885</v>
      </c>
      <c r="J64" s="112">
        <f t="shared" si="66"/>
        <v>9.424553288597826</v>
      </c>
      <c r="K64" s="112">
        <f t="shared" si="66"/>
        <v>13.995480059143862</v>
      </c>
      <c r="L64" s="112">
        <f t="shared" si="66"/>
        <v>12.693698546183724</v>
      </c>
      <c r="M64" s="112">
        <f t="shared" si="66"/>
        <v>16.953546123165427</v>
      </c>
      <c r="N64" s="114"/>
      <c r="O64" s="87"/>
      <c r="T64" s="112">
        <f>+(T19*1000)/T39</f>
        <v>13.377922969290978</v>
      </c>
      <c r="U64" s="112">
        <f>+(U19*1000)/U39</f>
        <v>12.589617817441724</v>
      </c>
      <c r="Z64" s="32"/>
      <c r="AA64" s="61">
        <f t="shared" si="6"/>
        <v>52</v>
      </c>
      <c r="AB64" s="56"/>
      <c r="AC64" s="63" t="s">
        <v>65</v>
      </c>
      <c r="AF64" s="3" t="s">
        <v>113</v>
      </c>
      <c r="AG64" s="56"/>
      <c r="AH64" s="112">
        <f t="shared" si="67"/>
        <v>20.915555650200307</v>
      </c>
      <c r="AI64" s="112">
        <f t="shared" si="67"/>
        <v>19.014942989007704</v>
      </c>
      <c r="AJ64" s="112">
        <f t="shared" si="67"/>
        <v>9.1718385503621462</v>
      </c>
      <c r="AK64" s="112">
        <f t="shared" si="67"/>
        <v>13.648974572472472</v>
      </c>
      <c r="AL64" s="112">
        <f t="shared" si="67"/>
        <v>12.389426462209077</v>
      </c>
      <c r="AM64" s="112">
        <f t="shared" si="67"/>
        <v>16.445948573612444</v>
      </c>
      <c r="AN64" s="114"/>
      <c r="AO64" s="87"/>
      <c r="AT64" s="112">
        <f>+(AT19*1000)/AT39</f>
        <v>13.064597183768216</v>
      </c>
      <c r="AU64" s="112">
        <f>+(AU19*1000)/AU39</f>
        <v>12.28676535592076</v>
      </c>
      <c r="AZ64" s="32"/>
      <c r="BA64" s="61">
        <f t="shared" si="9"/>
        <v>52</v>
      </c>
      <c r="BB64" s="56"/>
      <c r="BC64" s="63" t="s">
        <v>65</v>
      </c>
      <c r="BF64" s="3" t="s">
        <v>113</v>
      </c>
      <c r="BG64" s="56"/>
      <c r="BH64" s="112">
        <f t="shared" si="68"/>
        <v>20.133647053000356</v>
      </c>
      <c r="BI64" s="112">
        <f t="shared" si="68"/>
        <v>18.273938802149853</v>
      </c>
      <c r="BJ64" s="112">
        <f t="shared" si="68"/>
        <v>8.8313332051632205</v>
      </c>
      <c r="BK64" s="112">
        <f t="shared" si="68"/>
        <v>13.075246161866399</v>
      </c>
      <c r="BL64" s="112">
        <f t="shared" si="68"/>
        <v>11.896117296452278</v>
      </c>
      <c r="BM64" s="112">
        <f t="shared" si="68"/>
        <v>15.742037319820328</v>
      </c>
      <c r="BN64" s="114"/>
      <c r="BO64" s="87"/>
      <c r="BT64" s="112">
        <f>+(BT19*1000)/BT39</f>
        <v>12.504857561406851</v>
      </c>
      <c r="BU64" s="112">
        <f>+(BU19*1000)/BU39</f>
        <v>11.803688812665774</v>
      </c>
    </row>
    <row r="65" spans="1:73" x14ac:dyDescent="0.3">
      <c r="A65" s="61">
        <f t="shared" si="3"/>
        <v>53</v>
      </c>
      <c r="B65" s="56"/>
      <c r="C65" s="63" t="s">
        <v>68</v>
      </c>
      <c r="F65" s="3" t="s">
        <v>114</v>
      </c>
      <c r="G65" s="56"/>
      <c r="H65" s="112">
        <f t="shared" ref="H65:M65" si="69">+(H21*1000)/H40</f>
        <v>10.127556794644281</v>
      </c>
      <c r="I65" s="112">
        <f t="shared" si="69"/>
        <v>8.4563157636720057</v>
      </c>
      <c r="J65" s="112">
        <f t="shared" si="69"/>
        <v>2.2766957205311624</v>
      </c>
      <c r="K65" s="112">
        <f t="shared" si="69"/>
        <v>4.1194547597898117</v>
      </c>
      <c r="L65" s="112">
        <f t="shared" si="69"/>
        <v>7.1102039009617082</v>
      </c>
      <c r="M65" s="112">
        <f t="shared" si="69"/>
        <v>3.6219791373644799</v>
      </c>
      <c r="N65" s="114"/>
      <c r="O65" s="87"/>
      <c r="T65" s="112"/>
      <c r="U65" s="112">
        <f>+(U21*1000)/U40</f>
        <v>6.6688171537358327</v>
      </c>
      <c r="Z65" s="32"/>
      <c r="AA65" s="61">
        <f t="shared" si="6"/>
        <v>53</v>
      </c>
      <c r="AB65" s="56"/>
      <c r="AC65" s="63" t="s">
        <v>68</v>
      </c>
      <c r="AF65" s="3" t="s">
        <v>114</v>
      </c>
      <c r="AG65" s="56"/>
      <c r="AH65" s="112">
        <f t="shared" ref="AH65:AM65" si="70">+(AH21*1000)/AH40</f>
        <v>9.6972131117541771</v>
      </c>
      <c r="AI65" s="112">
        <f t="shared" si="70"/>
        <v>8.3319958449817229</v>
      </c>
      <c r="AJ65" s="112">
        <f t="shared" si="70"/>
        <v>2.2442328491432613</v>
      </c>
      <c r="AK65" s="112">
        <f t="shared" si="70"/>
        <v>4.0612355572412806</v>
      </c>
      <c r="AL65" s="112">
        <f t="shared" si="70"/>
        <v>7.054180087238386</v>
      </c>
      <c r="AM65" s="112">
        <f t="shared" si="70"/>
        <v>3.556837433266046</v>
      </c>
      <c r="AN65" s="114"/>
      <c r="AO65" s="87"/>
      <c r="AT65" s="112"/>
      <c r="AU65" s="112">
        <f>+(AU21*1000)/AU40</f>
        <v>6.6135791749331858</v>
      </c>
      <c r="AZ65" s="32"/>
      <c r="BA65" s="61">
        <f t="shared" si="9"/>
        <v>53</v>
      </c>
      <c r="BB65" s="56"/>
      <c r="BC65" s="63" t="s">
        <v>68</v>
      </c>
      <c r="BF65" s="3" t="s">
        <v>114</v>
      </c>
      <c r="BG65" s="56"/>
      <c r="BH65" s="112">
        <f t="shared" ref="BH65:BM65" si="71">+(BH21*1000)/BH40</f>
        <v>9.4754743146433498</v>
      </c>
      <c r="BI65" s="112">
        <f t="shared" si="71"/>
        <v>8.1311607947562017</v>
      </c>
      <c r="BJ65" s="112">
        <f t="shared" si="71"/>
        <v>2.2082966206449726</v>
      </c>
      <c r="BK65" s="112">
        <f t="shared" si="71"/>
        <v>3.9742142550438584</v>
      </c>
      <c r="BL65" s="112">
        <f t="shared" si="71"/>
        <v>7.0069538197028756</v>
      </c>
      <c r="BM65" s="112">
        <f t="shared" si="71"/>
        <v>3.4713811411852347</v>
      </c>
      <c r="BN65" s="114"/>
      <c r="BO65" s="87"/>
      <c r="BT65" s="112"/>
      <c r="BU65" s="112">
        <f>+(BU21*1000)/BU40</f>
        <v>6.5631904687209488</v>
      </c>
    </row>
    <row r="66" spans="1:73" x14ac:dyDescent="0.3">
      <c r="A66" s="61">
        <f t="shared" si="3"/>
        <v>54</v>
      </c>
      <c r="B66" s="113"/>
      <c r="C66" s="92" t="s">
        <v>115</v>
      </c>
      <c r="G66" s="56"/>
      <c r="H66" s="117">
        <f t="shared" ref="H66:M66" si="72">SUM(H60:H65)</f>
        <v>88.024827248939133</v>
      </c>
      <c r="I66" s="117">
        <f t="shared" si="72"/>
        <v>73.783116600698989</v>
      </c>
      <c r="J66" s="117">
        <f t="shared" si="72"/>
        <v>41.913764768914525</v>
      </c>
      <c r="K66" s="117">
        <f t="shared" si="72"/>
        <v>55.853956925654764</v>
      </c>
      <c r="L66" s="117">
        <f t="shared" si="72"/>
        <v>48.773604310901149</v>
      </c>
      <c r="M66" s="117">
        <f t="shared" si="72"/>
        <v>26.145832596816842</v>
      </c>
      <c r="N66" s="114"/>
      <c r="O66" s="87"/>
      <c r="T66" s="117">
        <f>SUM(T60:T65)</f>
        <v>40.00536235969453</v>
      </c>
      <c r="U66" s="117">
        <f>SUM(U60:U65)</f>
        <v>48.415551956535197</v>
      </c>
      <c r="V66" s="116"/>
      <c r="Z66" s="32"/>
      <c r="AA66" s="61">
        <f t="shared" si="6"/>
        <v>54</v>
      </c>
      <c r="AB66" s="113"/>
      <c r="AC66" s="92" t="s">
        <v>115</v>
      </c>
      <c r="AG66" s="56"/>
      <c r="AH66" s="117">
        <f t="shared" ref="AH66:AM66" si="73">SUM(AH60:AH65)</f>
        <v>84.727176344195527</v>
      </c>
      <c r="AI66" s="117">
        <f t="shared" si="73"/>
        <v>73.208294452648019</v>
      </c>
      <c r="AJ66" s="117">
        <f t="shared" si="73"/>
        <v>41.563041313916784</v>
      </c>
      <c r="AK66" s="117">
        <f t="shared" si="73"/>
        <v>55.452037523646133</v>
      </c>
      <c r="AL66" s="117">
        <f t="shared" si="73"/>
        <v>48.431033497324812</v>
      </c>
      <c r="AM66" s="117">
        <f t="shared" si="73"/>
        <v>25.520257835326802</v>
      </c>
      <c r="AN66" s="114"/>
      <c r="AO66" s="87"/>
      <c r="AT66" s="117">
        <f>SUM(AT60:AT65)</f>
        <v>39.772754683799683</v>
      </c>
      <c r="AU66" s="117">
        <f>SUM(AU60:AU65)</f>
        <v>48.070089382970373</v>
      </c>
      <c r="AZ66" s="32"/>
      <c r="BA66" s="61">
        <f t="shared" si="9"/>
        <v>54</v>
      </c>
      <c r="BB66" s="113"/>
      <c r="BC66" s="92" t="s">
        <v>115</v>
      </c>
      <c r="BG66" s="56"/>
      <c r="BH66" s="117">
        <f t="shared" ref="BH66:BM66" si="74">SUM(BH60:BH65)</f>
        <v>82.097907384004742</v>
      </c>
      <c r="BI66" s="117">
        <f t="shared" si="74"/>
        <v>70.741595242796677</v>
      </c>
      <c r="BJ66" s="117">
        <f t="shared" si="74"/>
        <v>40.265106401783164</v>
      </c>
      <c r="BK66" s="117">
        <f t="shared" si="74"/>
        <v>53.526879879969997</v>
      </c>
      <c r="BL66" s="117">
        <f t="shared" si="74"/>
        <v>46.934708991269673</v>
      </c>
      <c r="BM66" s="117">
        <f t="shared" si="74"/>
        <v>24.593292942427272</v>
      </c>
      <c r="BN66" s="114"/>
      <c r="BO66" s="87"/>
      <c r="BT66" s="117">
        <f>SUM(BT60:BT65)</f>
        <v>38.337762815114012</v>
      </c>
      <c r="BU66" s="117">
        <f>SUM(BU60:BU65)</f>
        <v>46.574155509764736</v>
      </c>
    </row>
    <row r="67" spans="1:73" x14ac:dyDescent="0.3">
      <c r="A67" s="61">
        <f t="shared" si="3"/>
        <v>55</v>
      </c>
      <c r="B67" s="56"/>
      <c r="C67" s="90" t="s">
        <v>116</v>
      </c>
      <c r="G67" s="56"/>
      <c r="H67" s="118"/>
      <c r="I67" s="118"/>
      <c r="J67" s="118"/>
      <c r="K67" s="118"/>
      <c r="L67" s="118"/>
      <c r="M67" s="118"/>
      <c r="N67" s="118"/>
      <c r="O67" s="87"/>
      <c r="T67" s="118"/>
      <c r="U67" s="118"/>
      <c r="Z67" s="32"/>
      <c r="AA67" s="61">
        <f t="shared" si="6"/>
        <v>55</v>
      </c>
      <c r="AB67" s="56"/>
      <c r="AC67" s="90" t="s">
        <v>116</v>
      </c>
      <c r="AG67" s="56"/>
      <c r="AH67" s="118"/>
      <c r="AI67" s="118"/>
      <c r="AJ67" s="118"/>
      <c r="AK67" s="118"/>
      <c r="AL67" s="118"/>
      <c r="AM67" s="118"/>
      <c r="AN67" s="118"/>
      <c r="AO67" s="87"/>
      <c r="AT67" s="118"/>
      <c r="AU67" s="118"/>
      <c r="AZ67" s="32"/>
      <c r="BA67" s="61">
        <f t="shared" si="9"/>
        <v>55</v>
      </c>
      <c r="BB67" s="56"/>
      <c r="BC67" s="90" t="s">
        <v>116</v>
      </c>
      <c r="BG67" s="56"/>
      <c r="BH67" s="118"/>
      <c r="BI67" s="118"/>
      <c r="BJ67" s="118"/>
      <c r="BK67" s="118"/>
      <c r="BL67" s="118"/>
      <c r="BM67" s="118"/>
      <c r="BN67" s="118"/>
      <c r="BO67" s="87"/>
      <c r="BT67" s="118"/>
      <c r="BU67" s="118"/>
    </row>
    <row r="68" spans="1:73" x14ac:dyDescent="0.3">
      <c r="A68" s="61">
        <f t="shared" si="3"/>
        <v>56</v>
      </c>
      <c r="B68" s="56"/>
      <c r="C68" s="63" t="s">
        <v>108</v>
      </c>
      <c r="F68" s="3" t="s">
        <v>117</v>
      </c>
      <c r="G68" s="56"/>
      <c r="H68" s="114"/>
      <c r="I68" s="114"/>
      <c r="J68" s="114"/>
      <c r="K68" s="112">
        <f>+(K14*1000)/K42</f>
        <v>8.8321650840388664</v>
      </c>
      <c r="L68" s="112">
        <f>+(L14*1000)/L42</f>
        <v>6.5552730884632506</v>
      </c>
      <c r="M68" s="114"/>
      <c r="N68" s="114"/>
      <c r="O68" s="87"/>
      <c r="T68" s="112">
        <f>+(T14*1000)/T42</f>
        <v>7.2247026914409638</v>
      </c>
      <c r="U68" s="112">
        <f>+(U14*1000)/U42</f>
        <v>6.5124818053922411</v>
      </c>
      <c r="Z68" s="32"/>
      <c r="AA68" s="61">
        <f t="shared" si="6"/>
        <v>56</v>
      </c>
      <c r="AB68" s="56"/>
      <c r="AC68" s="63" t="s">
        <v>108</v>
      </c>
      <c r="AF68" s="3" t="s">
        <v>117</v>
      </c>
      <c r="AG68" s="56"/>
      <c r="AH68" s="114"/>
      <c r="AI68" s="114"/>
      <c r="AJ68" s="114"/>
      <c r="AK68" s="112">
        <f>+(AK14*1000)/AK42</f>
        <v>8.8785182300789778</v>
      </c>
      <c r="AL68" s="112">
        <f>+(AL14*1000)/AL42</f>
        <v>6.5872657915590942</v>
      </c>
      <c r="AM68" s="114"/>
      <c r="AN68" s="114"/>
      <c r="AO68" s="87"/>
      <c r="AT68" s="112">
        <f>+(AT14*1000)/AT42</f>
        <v>7.2873270175004485</v>
      </c>
      <c r="AU68" s="112">
        <f>+(AU14*1000)/AU42</f>
        <v>6.5425932422217699</v>
      </c>
      <c r="AZ68" s="32"/>
      <c r="BA68" s="61">
        <f t="shared" si="9"/>
        <v>56</v>
      </c>
      <c r="BB68" s="56"/>
      <c r="BC68" s="63" t="s">
        <v>108</v>
      </c>
      <c r="BF68" s="3" t="s">
        <v>117</v>
      </c>
      <c r="BG68" s="56"/>
      <c r="BH68" s="114"/>
      <c r="BI68" s="114"/>
      <c r="BJ68" s="114"/>
      <c r="BK68" s="112">
        <f>+(BK14*1000)/BK42</f>
        <v>8.6240002789288592</v>
      </c>
      <c r="BL68" s="112">
        <f>+(BL14*1000)/BL42</f>
        <v>6.4008280206540027</v>
      </c>
      <c r="BM68" s="114"/>
      <c r="BN68" s="114"/>
      <c r="BO68" s="87"/>
      <c r="BT68" s="112">
        <f>+(BT14*1000)/BT42</f>
        <v>7.0733131992959191</v>
      </c>
      <c r="BU68" s="112">
        <f>+(BU14*1000)/BU42</f>
        <v>6.3579249051570077</v>
      </c>
    </row>
    <row r="69" spans="1:73" x14ac:dyDescent="0.3">
      <c r="A69" s="61">
        <f t="shared" si="3"/>
        <v>57</v>
      </c>
      <c r="B69" s="56"/>
      <c r="C69" s="63" t="s">
        <v>110</v>
      </c>
      <c r="F69" s="3" t="s">
        <v>118</v>
      </c>
      <c r="G69" s="56"/>
      <c r="H69" s="114"/>
      <c r="I69" s="114"/>
      <c r="J69" s="114"/>
      <c r="K69" s="112">
        <f>+(K15*1000)/K42</f>
        <v>0.90435598496816871</v>
      </c>
      <c r="L69" s="112">
        <f>+(L15*1000)/L42</f>
        <v>0.87722748872472811</v>
      </c>
      <c r="M69" s="114"/>
      <c r="N69" s="114"/>
      <c r="O69" s="87"/>
      <c r="T69" s="112">
        <f>+(T15*1000)/T42</f>
        <v>1.0789374622898507</v>
      </c>
      <c r="U69" s="112">
        <f>+(U15*1000)/U42</f>
        <v>0.86433378259240712</v>
      </c>
      <c r="Z69" s="32"/>
      <c r="AA69" s="61">
        <f t="shared" si="6"/>
        <v>57</v>
      </c>
      <c r="AB69" s="56"/>
      <c r="AC69" s="63" t="s">
        <v>110</v>
      </c>
      <c r="AF69" s="3" t="s">
        <v>118</v>
      </c>
      <c r="AG69" s="56"/>
      <c r="AH69" s="114"/>
      <c r="AI69" s="114"/>
      <c r="AJ69" s="114"/>
      <c r="AK69" s="112">
        <f>+(AK15*1000)/AK42</f>
        <v>0.90659024401707311</v>
      </c>
      <c r="AL69" s="112">
        <f>+(AL15*1000)/AL42</f>
        <v>0.87939852608208713</v>
      </c>
      <c r="AM69" s="114"/>
      <c r="AN69" s="114"/>
      <c r="AO69" s="87"/>
      <c r="AT69" s="112">
        <f>+(AT15*1000)/AT42</f>
        <v>1.0852591033087389</v>
      </c>
      <c r="AU69" s="112">
        <f>+(AU15*1000)/AU42</f>
        <v>0.86626207965141766</v>
      </c>
      <c r="AZ69" s="32"/>
      <c r="BA69" s="61">
        <f t="shared" si="9"/>
        <v>57</v>
      </c>
      <c r="BB69" s="56"/>
      <c r="BC69" s="63" t="s">
        <v>110</v>
      </c>
      <c r="BF69" s="3" t="s">
        <v>118</v>
      </c>
      <c r="BG69" s="56"/>
      <c r="BH69" s="114"/>
      <c r="BI69" s="114"/>
      <c r="BJ69" s="114"/>
      <c r="BK69" s="112">
        <f>+(BK15*1000)/BK42</f>
        <v>0.88143536862438865</v>
      </c>
      <c r="BL69" s="112">
        <f>+(BL15*1000)/BL42</f>
        <v>0.85476834303460281</v>
      </c>
      <c r="BM69" s="114"/>
      <c r="BN69" s="114"/>
      <c r="BO69" s="87"/>
      <c r="BT69" s="112">
        <f>+(BT15*1000)/BT42</f>
        <v>1.0515740039258705</v>
      </c>
      <c r="BU69" s="112">
        <f>+(BU15*1000)/BU42</f>
        <v>0.84221256297007907</v>
      </c>
    </row>
    <row r="70" spans="1:73" x14ac:dyDescent="0.3">
      <c r="A70" s="61">
        <f t="shared" si="3"/>
        <v>58</v>
      </c>
      <c r="B70" s="56"/>
      <c r="C70" s="63" t="s">
        <v>64</v>
      </c>
      <c r="F70" s="3" t="s">
        <v>119</v>
      </c>
      <c r="G70" s="56"/>
      <c r="H70" s="114"/>
      <c r="I70" s="114"/>
      <c r="J70" s="114"/>
      <c r="K70" s="112">
        <f>+(K18*1000)/K42</f>
        <v>3.7506470582697071</v>
      </c>
      <c r="L70" s="112">
        <f>+(L18*1000)/L42</f>
        <v>2.6867320299952229</v>
      </c>
      <c r="M70" s="114"/>
      <c r="N70" s="114"/>
      <c r="O70" s="87"/>
      <c r="T70" s="112">
        <f>+(T18*1000)/T42</f>
        <v>3.1655250752074515</v>
      </c>
      <c r="U70" s="112">
        <f>+(U18*1000)/U42</f>
        <v>2.6561266181057972</v>
      </c>
      <c r="Z70" s="32"/>
      <c r="AA70" s="61">
        <f t="shared" si="6"/>
        <v>58</v>
      </c>
      <c r="AB70" s="56"/>
      <c r="AC70" s="63" t="s">
        <v>64</v>
      </c>
      <c r="AF70" s="3" t="s">
        <v>119</v>
      </c>
      <c r="AG70" s="56"/>
      <c r="AH70" s="114"/>
      <c r="AI70" s="114"/>
      <c r="AJ70" s="114"/>
      <c r="AK70" s="112">
        <f>+(AK18*1000)/AK42</f>
        <v>3.7165015546766509</v>
      </c>
      <c r="AL70" s="112">
        <f>+(AL18*1000)/AL42</f>
        <v>2.66075432123142</v>
      </c>
      <c r="AM70" s="114"/>
      <c r="AN70" s="114"/>
      <c r="AO70" s="87"/>
      <c r="AT70" s="112">
        <f>+(AT18*1000)/AT42</f>
        <v>3.1488709455290333</v>
      </c>
      <c r="AU70" s="112">
        <f>+(AU18*1000)/AU42</f>
        <v>2.6296064541973867</v>
      </c>
      <c r="AZ70" s="32"/>
      <c r="BA70" s="61">
        <f t="shared" si="9"/>
        <v>58</v>
      </c>
      <c r="BB70" s="56"/>
      <c r="BC70" s="63" t="s">
        <v>64</v>
      </c>
      <c r="BF70" s="3" t="s">
        <v>119</v>
      </c>
      <c r="BG70" s="56"/>
      <c r="BH70" s="114"/>
      <c r="BI70" s="114"/>
      <c r="BJ70" s="114"/>
      <c r="BK70" s="112">
        <f>+(BK18*1000)/BK42</f>
        <v>3.5433372936264216</v>
      </c>
      <c r="BL70" s="112">
        <f>+(BL18*1000)/BL42</f>
        <v>2.5350185546416903</v>
      </c>
      <c r="BM70" s="114"/>
      <c r="BN70" s="114"/>
      <c r="BO70" s="87"/>
      <c r="BT70" s="112">
        <f>+(BT18*1000)/BT42</f>
        <v>3.0041739126193927</v>
      </c>
      <c r="BU70" s="112">
        <f>+(BU18*1000)/BU42</f>
        <v>2.505087446643147</v>
      </c>
    </row>
    <row r="71" spans="1:73" x14ac:dyDescent="0.3">
      <c r="A71" s="61">
        <f t="shared" si="3"/>
        <v>59</v>
      </c>
      <c r="B71" s="56"/>
      <c r="C71" s="63" t="s">
        <v>65</v>
      </c>
      <c r="F71" s="3" t="s">
        <v>120</v>
      </c>
      <c r="G71" s="56"/>
      <c r="H71" s="114"/>
      <c r="I71" s="114"/>
      <c r="J71" s="114"/>
      <c r="K71" s="112">
        <f>+(K19*1000)/K43</f>
        <v>4.9168738991837824</v>
      </c>
      <c r="L71" s="112">
        <f>+(L19*1000)/L43</f>
        <v>3.9733829422060376</v>
      </c>
      <c r="M71" s="114"/>
      <c r="N71" s="114"/>
      <c r="O71" s="87"/>
      <c r="T71" s="112">
        <f>+(T19*1000)/T43</f>
        <v>3.5838717865076513</v>
      </c>
      <c r="U71" s="112">
        <f>+(U19*1000)/U43</f>
        <v>4.0444344225806486</v>
      </c>
      <c r="Z71" s="32"/>
      <c r="AA71" s="61">
        <f t="shared" si="6"/>
        <v>59</v>
      </c>
      <c r="AB71" s="56"/>
      <c r="AC71" s="63" t="s">
        <v>65</v>
      </c>
      <c r="AF71" s="3" t="s">
        <v>120</v>
      </c>
      <c r="AG71" s="56"/>
      <c r="AH71" s="114"/>
      <c r="AI71" s="114"/>
      <c r="AJ71" s="114"/>
      <c r="AK71" s="112">
        <f>+(AK19*1000)/AK43</f>
        <v>4.7996052548075054</v>
      </c>
      <c r="AL71" s="112">
        <f>+(AL19*1000)/AL43</f>
        <v>3.8786098444167458</v>
      </c>
      <c r="AM71" s="114"/>
      <c r="AN71" s="114"/>
      <c r="AO71" s="87"/>
      <c r="AT71" s="112">
        <f>+(AT19*1000)/AT43</f>
        <v>3.5007497091343018</v>
      </c>
      <c r="AU71" s="112">
        <f>+(AU19*1000)/AU43</f>
        <v>3.9474977052319176</v>
      </c>
      <c r="AZ71" s="32"/>
      <c r="BA71" s="61">
        <f t="shared" si="9"/>
        <v>59</v>
      </c>
      <c r="BB71" s="56"/>
      <c r="BC71" s="63" t="s">
        <v>65</v>
      </c>
      <c r="BF71" s="3" t="s">
        <v>120</v>
      </c>
      <c r="BG71" s="56"/>
      <c r="BH71" s="114"/>
      <c r="BI71" s="114"/>
      <c r="BJ71" s="114"/>
      <c r="BK71" s="112">
        <f>+(BK19*1000)/BK43</f>
        <v>4.5979702244711049</v>
      </c>
      <c r="BL71" s="112">
        <f>+(BL19*1000)/BL43</f>
        <v>3.717065376307001</v>
      </c>
      <c r="BM71" s="114"/>
      <c r="BN71" s="114"/>
      <c r="BO71" s="87"/>
      <c r="BT71" s="112">
        <f>+(BT19*1000)/BT43</f>
        <v>3.3294806475549885</v>
      </c>
      <c r="BU71" s="112">
        <f>+(BU19*1000)/BU43</f>
        <v>3.7879961153223007</v>
      </c>
    </row>
    <row r="72" spans="1:73" x14ac:dyDescent="0.3">
      <c r="A72" s="61">
        <f t="shared" si="3"/>
        <v>60</v>
      </c>
      <c r="B72" s="56"/>
      <c r="C72" s="63" t="s">
        <v>68</v>
      </c>
      <c r="F72" s="3" t="s">
        <v>121</v>
      </c>
      <c r="G72" s="56"/>
      <c r="H72" s="114"/>
      <c r="I72" s="114"/>
      <c r="J72" s="114"/>
      <c r="K72" s="112">
        <f>+(K21*1000)/K44</f>
        <v>1.4285845518905897</v>
      </c>
      <c r="L72" s="112">
        <f>+(L21*1000)/L44</f>
        <v>3.2732054112057267</v>
      </c>
      <c r="M72" s="114"/>
      <c r="N72" s="114"/>
      <c r="O72" s="87"/>
      <c r="T72" s="116" t="s">
        <v>93</v>
      </c>
      <c r="U72" s="116" t="s">
        <v>93</v>
      </c>
      <c r="Z72" s="32"/>
      <c r="AA72" s="61">
        <f t="shared" si="6"/>
        <v>60</v>
      </c>
      <c r="AB72" s="56"/>
      <c r="AC72" s="63" t="s">
        <v>68</v>
      </c>
      <c r="AF72" s="3" t="s">
        <v>121</v>
      </c>
      <c r="AG72" s="56"/>
      <c r="AH72" s="114"/>
      <c r="AI72" s="114"/>
      <c r="AJ72" s="114"/>
      <c r="AK72" s="112">
        <f>+(AK21*1000)/AK44</f>
        <v>1.4095841838826677</v>
      </c>
      <c r="AL72" s="112">
        <f>+(AL21*1000)/AL44</f>
        <v>3.2479442049830012</v>
      </c>
      <c r="AM72" s="114"/>
      <c r="AN72" s="114"/>
      <c r="AO72" s="87"/>
      <c r="AT72" s="116" t="s">
        <v>93</v>
      </c>
      <c r="AU72" s="116" t="s">
        <v>93</v>
      </c>
      <c r="AZ72" s="32"/>
      <c r="BA72" s="61">
        <f t="shared" si="9"/>
        <v>60</v>
      </c>
      <c r="BB72" s="56"/>
      <c r="BC72" s="63" t="s">
        <v>68</v>
      </c>
      <c r="BF72" s="3" t="s">
        <v>121</v>
      </c>
      <c r="BG72" s="56"/>
      <c r="BH72" s="114"/>
      <c r="BI72" s="114"/>
      <c r="BJ72" s="114"/>
      <c r="BK72" s="112">
        <f>+(BK21*1000)/BK44</f>
        <v>1.3796496198994486</v>
      </c>
      <c r="BL72" s="112">
        <f>+(BL21*1000)/BL44</f>
        <v>3.2270496328460765</v>
      </c>
      <c r="BM72" s="114"/>
      <c r="BN72" s="114"/>
      <c r="BO72" s="87"/>
      <c r="BT72" s="116" t="s">
        <v>93</v>
      </c>
      <c r="BU72" s="116" t="s">
        <v>93</v>
      </c>
    </row>
    <row r="73" spans="1:73" x14ac:dyDescent="0.3">
      <c r="A73" s="61">
        <f t="shared" si="3"/>
        <v>61</v>
      </c>
      <c r="B73" s="113"/>
      <c r="C73" s="92" t="s">
        <v>122</v>
      </c>
      <c r="G73" s="56"/>
      <c r="H73" s="117">
        <f t="shared" ref="H73:M73" si="75">SUM(H67:H72)</f>
        <v>0</v>
      </c>
      <c r="I73" s="117">
        <f t="shared" si="75"/>
        <v>0</v>
      </c>
      <c r="J73" s="117">
        <f t="shared" si="75"/>
        <v>0</v>
      </c>
      <c r="K73" s="117">
        <f t="shared" si="75"/>
        <v>19.832626578351114</v>
      </c>
      <c r="L73" s="117">
        <f t="shared" si="75"/>
        <v>17.365820960594966</v>
      </c>
      <c r="M73" s="117">
        <f t="shared" si="75"/>
        <v>0</v>
      </c>
      <c r="N73" s="114"/>
      <c r="O73" s="87"/>
      <c r="T73" s="117">
        <f>SUM(T67:T72)</f>
        <v>15.053037015445916</v>
      </c>
      <c r="U73" s="117">
        <f>SUM(U67:U72)</f>
        <v>14.077376628671095</v>
      </c>
      <c r="V73" s="116"/>
      <c r="Z73" s="32"/>
      <c r="AA73" s="61">
        <f t="shared" si="6"/>
        <v>61</v>
      </c>
      <c r="AB73" s="113"/>
      <c r="AC73" s="92" t="s">
        <v>122</v>
      </c>
      <c r="AG73" s="56"/>
      <c r="AH73" s="117">
        <f t="shared" ref="AH73:AM73" si="76">SUM(AH67:AH72)</f>
        <v>0</v>
      </c>
      <c r="AI73" s="117">
        <f t="shared" si="76"/>
        <v>0</v>
      </c>
      <c r="AJ73" s="117">
        <f t="shared" si="76"/>
        <v>0</v>
      </c>
      <c r="AK73" s="117">
        <f t="shared" si="76"/>
        <v>19.710799467462873</v>
      </c>
      <c r="AL73" s="117">
        <f t="shared" si="76"/>
        <v>17.253972688272349</v>
      </c>
      <c r="AM73" s="117">
        <f t="shared" si="76"/>
        <v>0</v>
      </c>
      <c r="AN73" s="114"/>
      <c r="AO73" s="87"/>
      <c r="AT73" s="117">
        <f>SUM(AT67:AT72)</f>
        <v>15.022206775472522</v>
      </c>
      <c r="AU73" s="117">
        <f>SUM(AU67:AU72)</f>
        <v>13.985959481302492</v>
      </c>
      <c r="AZ73" s="32"/>
      <c r="BA73" s="61">
        <f t="shared" si="9"/>
        <v>61</v>
      </c>
      <c r="BB73" s="113"/>
      <c r="BC73" s="92" t="s">
        <v>122</v>
      </c>
      <c r="BG73" s="56"/>
      <c r="BH73" s="117">
        <f t="shared" ref="BH73:BM73" si="77">SUM(BH67:BH72)</f>
        <v>0</v>
      </c>
      <c r="BI73" s="117">
        <f t="shared" si="77"/>
        <v>0</v>
      </c>
      <c r="BJ73" s="117">
        <f t="shared" si="77"/>
        <v>0</v>
      </c>
      <c r="BK73" s="117">
        <f t="shared" si="77"/>
        <v>19.026392785550225</v>
      </c>
      <c r="BL73" s="117">
        <f t="shared" si="77"/>
        <v>16.734729927483372</v>
      </c>
      <c r="BM73" s="117">
        <f t="shared" si="77"/>
        <v>0</v>
      </c>
      <c r="BN73" s="114"/>
      <c r="BO73" s="87"/>
      <c r="BT73" s="117">
        <f>SUM(BT67:BT72)</f>
        <v>14.45854176339617</v>
      </c>
      <c r="BU73" s="117">
        <f>SUM(BU67:BU72)</f>
        <v>13.493221030092535</v>
      </c>
    </row>
    <row r="74" spans="1:73" x14ac:dyDescent="0.3">
      <c r="A74" s="61"/>
      <c r="B74" s="113"/>
      <c r="C74" s="92"/>
      <c r="G74" s="112"/>
      <c r="H74" s="112"/>
      <c r="I74" s="112"/>
      <c r="J74" s="112"/>
      <c r="K74" s="112"/>
      <c r="L74" s="112"/>
      <c r="M74" s="112"/>
      <c r="N74" s="114"/>
      <c r="O74" s="87"/>
      <c r="T74" s="116"/>
      <c r="U74" s="116"/>
      <c r="V74" s="116"/>
      <c r="Z74" s="32"/>
      <c r="AA74" s="61"/>
      <c r="AB74" s="113"/>
      <c r="AC74" s="92"/>
      <c r="AG74" s="112"/>
      <c r="AH74" s="112"/>
      <c r="AI74" s="112"/>
      <c r="AJ74" s="112"/>
      <c r="AK74" s="112"/>
      <c r="AL74" s="112"/>
      <c r="AM74" s="112"/>
      <c r="AN74" s="114"/>
      <c r="AO74" s="87"/>
      <c r="AT74" s="116"/>
      <c r="AU74" s="116"/>
      <c r="AZ74" s="32"/>
      <c r="BA74" s="61"/>
      <c r="BB74" s="113"/>
      <c r="BC74" s="92"/>
      <c r="BG74" s="112"/>
      <c r="BH74" s="112"/>
      <c r="BI74" s="112"/>
      <c r="BJ74" s="112"/>
      <c r="BK74" s="112"/>
      <c r="BL74" s="112"/>
      <c r="BM74" s="112"/>
      <c r="BN74" s="114"/>
      <c r="BO74" s="87"/>
      <c r="BT74" s="116"/>
      <c r="BU74" s="116"/>
    </row>
    <row r="75" spans="1:73" x14ac:dyDescent="0.3">
      <c r="A75" s="121" t="s">
        <v>30</v>
      </c>
      <c r="B75" s="24"/>
      <c r="C75" s="25"/>
      <c r="D75" s="26"/>
      <c r="E75" s="26"/>
      <c r="F75" s="26"/>
      <c r="G75" s="26"/>
      <c r="H75" s="26"/>
      <c r="I75" s="26"/>
      <c r="J75" s="26"/>
      <c r="K75" s="26"/>
      <c r="L75" s="26"/>
      <c r="M75" s="23" t="s">
        <v>31</v>
      </c>
      <c r="N75" s="24"/>
      <c r="O75" s="25"/>
      <c r="P75" s="25"/>
      <c r="T75" s="26"/>
      <c r="U75" s="26"/>
      <c r="V75" s="122"/>
      <c r="Z75" s="32"/>
      <c r="AA75" s="121" t="s">
        <v>30</v>
      </c>
      <c r="AB75" s="24"/>
      <c r="AC75" s="25"/>
      <c r="AD75" s="26"/>
      <c r="AE75" s="26"/>
      <c r="AF75" s="26"/>
      <c r="AG75" s="26"/>
      <c r="AH75" s="26"/>
      <c r="AI75" s="26"/>
      <c r="AJ75" s="26"/>
      <c r="AK75" s="26"/>
      <c r="AL75" s="26"/>
      <c r="AM75" s="23" t="s">
        <v>31</v>
      </c>
      <c r="AN75" s="24"/>
      <c r="AO75" s="25"/>
      <c r="AP75" s="25"/>
      <c r="AT75" s="26"/>
      <c r="AU75" s="26"/>
      <c r="AZ75" s="32"/>
      <c r="BA75" s="121" t="s">
        <v>30</v>
      </c>
      <c r="BB75" s="24"/>
      <c r="BC75" s="25"/>
      <c r="BD75" s="26"/>
      <c r="BE75" s="26"/>
      <c r="BF75" s="26"/>
      <c r="BG75" s="26"/>
      <c r="BH75" s="26"/>
      <c r="BI75" s="26"/>
      <c r="BJ75" s="26"/>
      <c r="BK75" s="26"/>
      <c r="BL75" s="26"/>
      <c r="BM75" s="23" t="s">
        <v>31</v>
      </c>
      <c r="BN75" s="24"/>
      <c r="BO75" s="25"/>
      <c r="BP75" s="25"/>
      <c r="BT75" s="26"/>
      <c r="BU75" s="26"/>
    </row>
    <row r="76" spans="1:73" x14ac:dyDescent="0.3">
      <c r="A76" s="123"/>
      <c r="B76" s="87"/>
      <c r="C76" s="87"/>
      <c r="G76" s="87"/>
      <c r="H76" s="87"/>
      <c r="I76" s="87"/>
      <c r="J76" s="87"/>
      <c r="K76" s="87"/>
      <c r="L76" s="87"/>
      <c r="M76" s="87"/>
      <c r="N76" s="87"/>
      <c r="O76" s="87"/>
      <c r="T76" s="87"/>
      <c r="U76" s="87"/>
      <c r="V76" s="87"/>
      <c r="Z76" s="32"/>
      <c r="AA76" s="123"/>
      <c r="AB76" s="87"/>
      <c r="AC76" s="87"/>
      <c r="AG76" s="87"/>
      <c r="AH76" s="87"/>
      <c r="AI76" s="87"/>
      <c r="AJ76" s="87"/>
      <c r="AK76" s="87"/>
      <c r="AL76" s="87"/>
      <c r="AM76" s="87"/>
      <c r="AN76" s="87"/>
      <c r="AO76" s="87"/>
      <c r="AT76" s="87"/>
      <c r="AU76" s="87"/>
      <c r="AZ76" s="32"/>
      <c r="BA76" s="123"/>
      <c r="BB76" s="87"/>
      <c r="BC76" s="87"/>
      <c r="BG76" s="87"/>
      <c r="BH76" s="87"/>
      <c r="BI76" s="87"/>
      <c r="BJ76" s="87"/>
      <c r="BK76" s="87"/>
      <c r="BL76" s="87"/>
      <c r="BM76" s="87"/>
      <c r="BN76" s="87"/>
      <c r="BO76" s="87"/>
      <c r="BT76" s="87"/>
      <c r="BU76" s="87"/>
    </row>
    <row r="77" spans="1:73" ht="5.25" customHeight="1" x14ac:dyDescent="0.3">
      <c r="A77" s="123"/>
      <c r="B77" s="87"/>
      <c r="C77" s="87"/>
      <c r="G77" s="87"/>
      <c r="H77" s="87"/>
      <c r="I77" s="87"/>
      <c r="J77" s="87"/>
      <c r="K77" s="87"/>
      <c r="L77" s="87"/>
      <c r="M77" s="87"/>
      <c r="N77" s="87"/>
      <c r="O77" s="87"/>
      <c r="T77" s="87"/>
      <c r="U77" s="87"/>
      <c r="V77" s="87"/>
      <c r="Z77" s="32"/>
      <c r="AA77" s="123"/>
      <c r="AB77" s="87"/>
      <c r="AC77" s="87"/>
      <c r="AG77" s="87"/>
      <c r="AH77" s="87"/>
      <c r="AI77" s="87"/>
      <c r="AJ77" s="87"/>
      <c r="AK77" s="87"/>
      <c r="AL77" s="87"/>
      <c r="AM77" s="87"/>
      <c r="AN77" s="87"/>
      <c r="AO77" s="87"/>
      <c r="AT77" s="87"/>
      <c r="AU77" s="87"/>
      <c r="AZ77" s="32"/>
      <c r="BA77" s="123"/>
      <c r="BB77" s="87"/>
      <c r="BC77" s="87"/>
      <c r="BG77" s="87"/>
      <c r="BH77" s="87"/>
      <c r="BI77" s="87"/>
      <c r="BJ77" s="87"/>
      <c r="BK77" s="87"/>
      <c r="BL77" s="87"/>
      <c r="BM77" s="87"/>
      <c r="BN77" s="87"/>
      <c r="BO77" s="87"/>
      <c r="BT77" s="87"/>
      <c r="BU77" s="87"/>
    </row>
    <row r="78" spans="1:73" ht="5.25" customHeight="1" x14ac:dyDescent="0.3">
      <c r="A78" s="42"/>
      <c r="B78" s="40"/>
      <c r="C78" s="40"/>
      <c r="G78" s="124"/>
      <c r="H78" s="124"/>
      <c r="I78" s="124"/>
      <c r="J78" s="124"/>
      <c r="K78" s="124"/>
      <c r="L78" s="124"/>
      <c r="M78" s="124"/>
      <c r="N78" s="87"/>
      <c r="O78" s="87"/>
      <c r="T78" s="124"/>
      <c r="U78" s="124"/>
      <c r="V78" s="124"/>
      <c r="Z78" s="32"/>
      <c r="AA78" s="42"/>
      <c r="AB78" s="40"/>
      <c r="AC78" s="40"/>
      <c r="AG78" s="124"/>
      <c r="AH78" s="124"/>
      <c r="AI78" s="124"/>
      <c r="AJ78" s="124"/>
      <c r="AK78" s="124"/>
      <c r="AL78" s="124"/>
      <c r="AM78" s="124"/>
      <c r="AN78" s="87"/>
      <c r="AO78" s="87"/>
      <c r="AT78" s="124"/>
      <c r="AU78" s="124"/>
      <c r="AZ78" s="32"/>
      <c r="BA78" s="42"/>
      <c r="BB78" s="40"/>
      <c r="BC78" s="40"/>
      <c r="BG78" s="124"/>
      <c r="BH78" s="124"/>
      <c r="BI78" s="124"/>
      <c r="BJ78" s="124"/>
      <c r="BK78" s="124"/>
      <c r="BL78" s="124"/>
      <c r="BM78" s="124"/>
      <c r="BN78" s="87"/>
      <c r="BO78" s="87"/>
      <c r="BT78" s="124"/>
      <c r="BU78" s="124"/>
    </row>
    <row r="79" spans="1:73" ht="5.25" customHeight="1" x14ac:dyDescent="0.3">
      <c r="A79" s="39"/>
      <c r="B79" s="40"/>
      <c r="C79" s="40"/>
      <c r="G79" s="40"/>
      <c r="H79" s="40"/>
      <c r="I79" s="40"/>
      <c r="J79" s="40"/>
      <c r="K79" s="40"/>
      <c r="L79" s="40"/>
      <c r="M79" s="40"/>
      <c r="N79" s="87"/>
      <c r="O79" s="87"/>
      <c r="T79" s="40"/>
      <c r="U79" s="40"/>
      <c r="V79" s="40"/>
      <c r="Z79" s="32"/>
      <c r="AA79" s="39"/>
      <c r="AB79" s="40"/>
      <c r="AC79" s="40"/>
      <c r="AG79" s="40"/>
      <c r="AH79" s="40"/>
      <c r="AI79" s="40"/>
      <c r="AJ79" s="40"/>
      <c r="AK79" s="40"/>
      <c r="AL79" s="40"/>
      <c r="AM79" s="40"/>
      <c r="AN79" s="87"/>
      <c r="AO79" s="87"/>
      <c r="AT79" s="40"/>
      <c r="AU79" s="40"/>
      <c r="AZ79" s="32"/>
      <c r="BA79" s="39"/>
      <c r="BB79" s="40"/>
      <c r="BC79" s="40"/>
      <c r="BG79" s="40"/>
      <c r="BH79" s="40"/>
      <c r="BI79" s="40"/>
      <c r="BJ79" s="40"/>
      <c r="BK79" s="40"/>
      <c r="BL79" s="40"/>
      <c r="BM79" s="40"/>
      <c r="BN79" s="87"/>
      <c r="BO79" s="87"/>
      <c r="BT79" s="40"/>
      <c r="BU79" s="40"/>
    </row>
    <row r="80" spans="1:73" x14ac:dyDescent="0.3">
      <c r="A80" s="39"/>
      <c r="B80" s="40"/>
      <c r="C80" s="40"/>
      <c r="G80" s="40"/>
      <c r="H80" s="125" t="s">
        <v>80</v>
      </c>
      <c r="I80" s="126"/>
      <c r="J80" s="126"/>
      <c r="K80" s="126"/>
      <c r="L80" s="126"/>
      <c r="M80" s="127"/>
      <c r="N80" s="87"/>
      <c r="O80" s="87"/>
      <c r="T80" s="126"/>
      <c r="U80" s="126"/>
      <c r="V80" s="128"/>
      <c r="Z80" s="32"/>
      <c r="AA80" s="39"/>
      <c r="AB80" s="40"/>
      <c r="AC80" s="40"/>
      <c r="AG80" s="40"/>
      <c r="AH80" s="125"/>
      <c r="AI80" s="126"/>
      <c r="AJ80" s="126"/>
      <c r="AK80" s="126"/>
      <c r="AL80" s="126"/>
      <c r="AM80" s="127"/>
      <c r="AN80" s="87"/>
      <c r="AO80" s="87"/>
      <c r="AT80" s="116"/>
      <c r="AU80" s="116"/>
      <c r="AZ80" s="32"/>
      <c r="BA80" s="39"/>
      <c r="BB80" s="40"/>
      <c r="BC80" s="40"/>
      <c r="BG80" s="40"/>
      <c r="BH80" s="125" t="s">
        <v>80</v>
      </c>
      <c r="BI80" s="126"/>
      <c r="BJ80" s="126"/>
      <c r="BK80" s="126"/>
      <c r="BL80" s="126"/>
      <c r="BM80" s="127"/>
      <c r="BN80" s="87"/>
      <c r="BO80" s="87"/>
      <c r="BT80" s="126"/>
      <c r="BU80" s="126"/>
    </row>
    <row r="81" spans="1:73" x14ac:dyDescent="0.3">
      <c r="A81" s="39"/>
      <c r="B81" s="40"/>
      <c r="C81" s="40"/>
      <c r="G81" s="40"/>
      <c r="H81" s="93" t="s">
        <v>123</v>
      </c>
      <c r="I81" s="129" t="s">
        <v>124</v>
      </c>
      <c r="J81" s="129" t="s">
        <v>125</v>
      </c>
      <c r="K81" s="129" t="s">
        <v>126</v>
      </c>
      <c r="L81" s="129" t="s">
        <v>127</v>
      </c>
      <c r="M81" s="130" t="s">
        <v>128</v>
      </c>
      <c r="N81" s="87"/>
      <c r="O81" s="87"/>
      <c r="T81" s="129" t="s">
        <v>129</v>
      </c>
      <c r="U81" s="129" t="s">
        <v>127</v>
      </c>
      <c r="V81" s="128"/>
      <c r="Z81" s="32"/>
      <c r="AA81" s="39"/>
      <c r="AB81" s="40"/>
      <c r="AC81" s="40"/>
      <c r="AG81" s="40"/>
      <c r="AH81" s="93" t="s">
        <v>123</v>
      </c>
      <c r="AI81" s="129" t="s">
        <v>124</v>
      </c>
      <c r="AJ81" s="129" t="s">
        <v>125</v>
      </c>
      <c r="AK81" s="129" t="s">
        <v>126</v>
      </c>
      <c r="AL81" s="129" t="s">
        <v>127</v>
      </c>
      <c r="AM81" s="130" t="s">
        <v>128</v>
      </c>
      <c r="AN81" s="87"/>
      <c r="AO81" s="87"/>
      <c r="AT81" s="129" t="s">
        <v>129</v>
      </c>
      <c r="AU81" s="129" t="s">
        <v>127</v>
      </c>
      <c r="AZ81" s="32"/>
      <c r="BA81" s="39"/>
      <c r="BB81" s="40"/>
      <c r="BC81" s="40"/>
      <c r="BG81" s="40"/>
      <c r="BH81" s="93" t="s">
        <v>123</v>
      </c>
      <c r="BI81" s="129" t="s">
        <v>124</v>
      </c>
      <c r="BJ81" s="129" t="s">
        <v>125</v>
      </c>
      <c r="BK81" s="129" t="s">
        <v>126</v>
      </c>
      <c r="BL81" s="129" t="s">
        <v>127</v>
      </c>
      <c r="BM81" s="130" t="s">
        <v>128</v>
      </c>
      <c r="BN81" s="87"/>
      <c r="BO81" s="87"/>
      <c r="BT81" s="129" t="s">
        <v>129</v>
      </c>
      <c r="BU81" s="129" t="s">
        <v>127</v>
      </c>
    </row>
    <row r="82" spans="1:73" x14ac:dyDescent="0.3">
      <c r="A82" s="39"/>
      <c r="B82" s="40"/>
      <c r="C82" s="40"/>
      <c r="G82" s="40"/>
      <c r="H82" s="95" t="s">
        <v>93</v>
      </c>
      <c r="I82" s="128" t="s">
        <v>93</v>
      </c>
      <c r="J82" s="128" t="s">
        <v>93</v>
      </c>
      <c r="K82" s="128" t="s">
        <v>130</v>
      </c>
      <c r="L82" s="128" t="s">
        <v>129</v>
      </c>
      <c r="M82" s="131" t="s">
        <v>93</v>
      </c>
      <c r="N82" s="87"/>
      <c r="O82" s="87"/>
      <c r="T82" s="128" t="s">
        <v>131</v>
      </c>
      <c r="U82" s="128" t="s">
        <v>132</v>
      </c>
      <c r="V82" s="128"/>
      <c r="Z82" s="32"/>
      <c r="AA82" s="39"/>
      <c r="AB82" s="40"/>
      <c r="AC82" s="40"/>
      <c r="AG82" s="40"/>
      <c r="AH82" s="95" t="s">
        <v>93</v>
      </c>
      <c r="AI82" s="128" t="s">
        <v>93</v>
      </c>
      <c r="AJ82" s="128" t="s">
        <v>93</v>
      </c>
      <c r="AK82" s="128" t="s">
        <v>130</v>
      </c>
      <c r="AL82" s="128" t="s">
        <v>129</v>
      </c>
      <c r="AM82" s="131" t="s">
        <v>93</v>
      </c>
      <c r="AN82" s="87"/>
      <c r="AO82" s="87"/>
      <c r="AT82" s="128" t="s">
        <v>131</v>
      </c>
      <c r="AU82" s="128" t="s">
        <v>132</v>
      </c>
      <c r="AZ82" s="32"/>
      <c r="BA82" s="39"/>
      <c r="BB82" s="40"/>
      <c r="BC82" s="40"/>
      <c r="BG82" s="40"/>
      <c r="BH82" s="95" t="s">
        <v>93</v>
      </c>
      <c r="BI82" s="128" t="s">
        <v>93</v>
      </c>
      <c r="BJ82" s="128" t="s">
        <v>93</v>
      </c>
      <c r="BK82" s="128" t="s">
        <v>130</v>
      </c>
      <c r="BL82" s="128" t="s">
        <v>129</v>
      </c>
      <c r="BM82" s="131" t="s">
        <v>93</v>
      </c>
      <c r="BN82" s="87"/>
      <c r="BO82" s="87"/>
      <c r="BT82" s="128" t="s">
        <v>131</v>
      </c>
      <c r="BU82" s="128" t="s">
        <v>132</v>
      </c>
    </row>
    <row r="83" spans="1:73" x14ac:dyDescent="0.3">
      <c r="A83" s="123"/>
      <c r="B83" s="87"/>
      <c r="C83" s="87"/>
      <c r="G83" s="87"/>
      <c r="H83" s="95" t="s">
        <v>93</v>
      </c>
      <c r="I83" s="128" t="s">
        <v>93</v>
      </c>
      <c r="J83" s="128" t="s">
        <v>93</v>
      </c>
      <c r="K83" s="128" t="s">
        <v>93</v>
      </c>
      <c r="L83" s="128" t="s">
        <v>132</v>
      </c>
      <c r="M83" s="131" t="s">
        <v>93</v>
      </c>
      <c r="N83" s="87"/>
      <c r="O83" s="87"/>
      <c r="T83" s="128" t="s">
        <v>93</v>
      </c>
      <c r="U83" s="128" t="s">
        <v>93</v>
      </c>
      <c r="V83" s="128"/>
      <c r="Z83" s="32"/>
      <c r="AA83" s="123"/>
      <c r="AB83" s="87"/>
      <c r="AC83" s="87"/>
      <c r="AG83" s="87"/>
      <c r="AH83" s="95" t="s">
        <v>93</v>
      </c>
      <c r="AI83" s="128" t="s">
        <v>93</v>
      </c>
      <c r="AJ83" s="128" t="s">
        <v>93</v>
      </c>
      <c r="AK83" s="128" t="s">
        <v>93</v>
      </c>
      <c r="AL83" s="128" t="s">
        <v>132</v>
      </c>
      <c r="AM83" s="131" t="s">
        <v>93</v>
      </c>
      <c r="AN83" s="87"/>
      <c r="AO83" s="87"/>
      <c r="AT83" s="128" t="s">
        <v>93</v>
      </c>
      <c r="AU83" s="128" t="s">
        <v>93</v>
      </c>
      <c r="AZ83" s="32"/>
      <c r="BA83" s="123"/>
      <c r="BB83" s="87"/>
      <c r="BC83" s="87"/>
      <c r="BG83" s="87"/>
      <c r="BH83" s="95" t="s">
        <v>93</v>
      </c>
      <c r="BI83" s="128" t="s">
        <v>93</v>
      </c>
      <c r="BJ83" s="128" t="s">
        <v>93</v>
      </c>
      <c r="BK83" s="128" t="s">
        <v>93</v>
      </c>
      <c r="BL83" s="128" t="s">
        <v>132</v>
      </c>
      <c r="BM83" s="131" t="s">
        <v>93</v>
      </c>
      <c r="BN83" s="87"/>
      <c r="BO83" s="87"/>
      <c r="BT83" s="128" t="s">
        <v>93</v>
      </c>
      <c r="BU83" s="128" t="s">
        <v>93</v>
      </c>
    </row>
    <row r="84" spans="1:73" x14ac:dyDescent="0.3">
      <c r="A84" s="123"/>
      <c r="B84" s="87"/>
      <c r="C84" s="87"/>
      <c r="G84" s="87"/>
      <c r="H84" s="132" t="s">
        <v>93</v>
      </c>
      <c r="I84" s="133" t="s">
        <v>93</v>
      </c>
      <c r="J84" s="133" t="s">
        <v>93</v>
      </c>
      <c r="K84" s="133" t="s">
        <v>93</v>
      </c>
      <c r="L84" s="133" t="s">
        <v>131</v>
      </c>
      <c r="M84" s="134" t="s">
        <v>93</v>
      </c>
      <c r="N84" s="87"/>
      <c r="O84" s="87"/>
      <c r="T84" s="133" t="s">
        <v>93</v>
      </c>
      <c r="U84" s="133" t="s">
        <v>93</v>
      </c>
      <c r="V84" s="128"/>
      <c r="Z84" s="32"/>
      <c r="AA84" s="123"/>
      <c r="AB84" s="87"/>
      <c r="AC84" s="87"/>
      <c r="AG84" s="87"/>
      <c r="AH84" s="132" t="s">
        <v>93</v>
      </c>
      <c r="AI84" s="133" t="s">
        <v>93</v>
      </c>
      <c r="AJ84" s="133" t="s">
        <v>93</v>
      </c>
      <c r="AK84" s="133" t="s">
        <v>93</v>
      </c>
      <c r="AL84" s="133" t="s">
        <v>131</v>
      </c>
      <c r="AM84" s="134" t="s">
        <v>93</v>
      </c>
      <c r="AN84" s="87"/>
      <c r="AO84" s="87"/>
      <c r="AT84" s="133" t="s">
        <v>93</v>
      </c>
      <c r="AU84" s="133" t="s">
        <v>93</v>
      </c>
      <c r="AZ84" s="32"/>
      <c r="BA84" s="123"/>
      <c r="BB84" s="87"/>
      <c r="BC84" s="87"/>
      <c r="BG84" s="87"/>
      <c r="BH84" s="132" t="s">
        <v>93</v>
      </c>
      <c r="BI84" s="133" t="s">
        <v>93</v>
      </c>
      <c r="BJ84" s="133" t="s">
        <v>93</v>
      </c>
      <c r="BK84" s="133" t="s">
        <v>93</v>
      </c>
      <c r="BL84" s="133" t="s">
        <v>131</v>
      </c>
      <c r="BM84" s="134" t="s">
        <v>93</v>
      </c>
      <c r="BN84" s="87"/>
      <c r="BO84" s="87"/>
      <c r="BT84" s="133" t="s">
        <v>93</v>
      </c>
      <c r="BU84" s="133" t="s">
        <v>93</v>
      </c>
    </row>
    <row r="85" spans="1:73" x14ac:dyDescent="0.3">
      <c r="A85" s="123"/>
      <c r="B85" s="87"/>
      <c r="Z85" s="32"/>
      <c r="AA85" s="123"/>
      <c r="AB85" s="87"/>
      <c r="AZ85" s="32"/>
      <c r="BA85" s="123"/>
      <c r="BB85" s="87"/>
    </row>
    <row r="86" spans="1:73" x14ac:dyDescent="0.3">
      <c r="C86" s="136" t="s">
        <v>133</v>
      </c>
      <c r="D86" s="136"/>
      <c r="E86" s="136"/>
      <c r="F86" s="136"/>
      <c r="G86" s="136"/>
      <c r="H86" s="137"/>
      <c r="I86" s="136"/>
      <c r="J86" s="136"/>
      <c r="K86" s="136"/>
      <c r="L86" s="136"/>
      <c r="M86" s="136"/>
      <c r="N86" s="138"/>
      <c r="T86" s="136"/>
      <c r="U86" s="136"/>
      <c r="V86" s="136"/>
      <c r="Z86" s="32"/>
      <c r="AC86" s="136" t="s">
        <v>133</v>
      </c>
      <c r="AD86" s="136"/>
      <c r="AE86" s="136"/>
      <c r="AF86" s="136"/>
      <c r="AG86" s="136"/>
      <c r="AH86" s="137"/>
      <c r="AI86" s="136"/>
      <c r="AJ86" s="136"/>
      <c r="AK86" s="136"/>
      <c r="AL86" s="136"/>
      <c r="AM86" s="136"/>
      <c r="AN86" s="138"/>
      <c r="AT86" s="136"/>
      <c r="AU86" s="136"/>
      <c r="AZ86" s="32"/>
      <c r="BC86" s="136" t="s">
        <v>133</v>
      </c>
      <c r="BD86" s="136"/>
      <c r="BE86" s="136"/>
      <c r="BF86" s="136"/>
      <c r="BG86" s="136"/>
      <c r="BH86" s="137"/>
      <c r="BI86" s="136"/>
      <c r="BJ86" s="136"/>
      <c r="BK86" s="136"/>
      <c r="BL86" s="136"/>
      <c r="BM86" s="136"/>
      <c r="BN86" s="138"/>
      <c r="BT86" s="136"/>
      <c r="BU86" s="136"/>
    </row>
    <row r="87" spans="1:73" x14ac:dyDescent="0.3">
      <c r="C87" s="139" t="s">
        <v>94</v>
      </c>
      <c r="D87" s="136"/>
      <c r="E87" s="136"/>
      <c r="F87" s="136"/>
      <c r="G87" s="138"/>
      <c r="H87" s="137">
        <f>H14/G14-H45</f>
        <v>0</v>
      </c>
      <c r="I87" s="137">
        <f>I14/G14-I45</f>
        <v>0</v>
      </c>
      <c r="J87" s="137">
        <f>J14/G14-J45</f>
        <v>0</v>
      </c>
      <c r="K87" s="137">
        <f>K14/G14-K45</f>
        <v>0</v>
      </c>
      <c r="L87" s="137">
        <f>L14/G14-L45</f>
        <v>0</v>
      </c>
      <c r="M87" s="137">
        <f>M14/G14-M45</f>
        <v>0</v>
      </c>
      <c r="N87" s="137">
        <f>N14/G14-N45</f>
        <v>0</v>
      </c>
      <c r="T87" s="137">
        <f>T14/G14-T45</f>
        <v>0</v>
      </c>
      <c r="U87" s="137">
        <f>U14/G14-U45</f>
        <v>0</v>
      </c>
      <c r="V87" s="137"/>
      <c r="Z87" s="32"/>
      <c r="AC87" s="139" t="s">
        <v>94</v>
      </c>
      <c r="AD87" s="136"/>
      <c r="AE87" s="136"/>
      <c r="AF87" s="136"/>
      <c r="AG87" s="138"/>
      <c r="AH87" s="137">
        <f>AH14/AG14-AH45</f>
        <v>0</v>
      </c>
      <c r="AI87" s="137">
        <f>AI14/AG14-AI45</f>
        <v>0</v>
      </c>
      <c r="AJ87" s="137">
        <f>AJ14/AG14-AJ45</f>
        <v>0</v>
      </c>
      <c r="AK87" s="137">
        <f>AK14/AG14-AK45</f>
        <v>0</v>
      </c>
      <c r="AL87" s="137">
        <f>AL14/AG14-AL45</f>
        <v>0</v>
      </c>
      <c r="AM87" s="137">
        <f>AM14/AG14-AM45</f>
        <v>0</v>
      </c>
      <c r="AN87" s="137">
        <f>AN14/AG14-AN45</f>
        <v>0</v>
      </c>
      <c r="AT87" s="137">
        <f>AT14/AG14-AT45</f>
        <v>0</v>
      </c>
      <c r="AU87" s="137">
        <f>AU14/AG14-AU45</f>
        <v>0</v>
      </c>
      <c r="AZ87" s="32"/>
      <c r="BC87" s="139" t="s">
        <v>94</v>
      </c>
      <c r="BD87" s="136"/>
      <c r="BE87" s="136"/>
      <c r="BF87" s="136"/>
      <c r="BG87" s="138"/>
      <c r="BH87" s="137">
        <f>BH14/BG14-BH45</f>
        <v>0</v>
      </c>
      <c r="BI87" s="137">
        <f>BI14/BG14-BI45</f>
        <v>0</v>
      </c>
      <c r="BJ87" s="137">
        <f>BJ14/BG14-BJ45</f>
        <v>0</v>
      </c>
      <c r="BK87" s="137">
        <f>BK14/BG14-BK45</f>
        <v>0</v>
      </c>
      <c r="BL87" s="137">
        <f>BL14/BG14-BL45</f>
        <v>0</v>
      </c>
      <c r="BM87" s="137">
        <f>BM14/BG14-BM45</f>
        <v>0</v>
      </c>
      <c r="BN87" s="137">
        <f>BN14/BG14-BN45</f>
        <v>0</v>
      </c>
      <c r="BT87" s="137">
        <f>BT14/BG14-BT45</f>
        <v>0</v>
      </c>
      <c r="BU87" s="137">
        <f>BU14/BG14-BU45</f>
        <v>0</v>
      </c>
    </row>
    <row r="88" spans="1:73" x14ac:dyDescent="0.3">
      <c r="C88" s="139" t="s">
        <v>134</v>
      </c>
      <c r="D88" s="136"/>
      <c r="E88" s="136"/>
      <c r="F88" s="136"/>
      <c r="G88" s="138"/>
      <c r="H88" s="137">
        <f>H15/G15-H46</f>
        <v>0</v>
      </c>
      <c r="I88" s="137">
        <f>I15/G15-I46</f>
        <v>0</v>
      </c>
      <c r="J88" s="137">
        <f>J15/G15-J46</f>
        <v>0</v>
      </c>
      <c r="K88" s="137">
        <f>K15/G15-K46</f>
        <v>0</v>
      </c>
      <c r="L88" s="137">
        <f>L15/G15-L46</f>
        <v>0</v>
      </c>
      <c r="M88" s="137">
        <f>M15/G15-M46</f>
        <v>0</v>
      </c>
      <c r="N88" s="137">
        <f>N15/G15-N46</f>
        <v>0</v>
      </c>
      <c r="T88" s="137">
        <f>T15/G15-T46</f>
        <v>0</v>
      </c>
      <c r="U88" s="137">
        <f>U15/G15-U46</f>
        <v>0</v>
      </c>
      <c r="V88" s="137"/>
      <c r="Z88" s="32"/>
      <c r="AC88" s="139" t="s">
        <v>134</v>
      </c>
      <c r="AD88" s="136"/>
      <c r="AE88" s="136"/>
      <c r="AF88" s="136"/>
      <c r="AG88" s="138"/>
      <c r="AH88" s="137">
        <f>AH15/AG15-AH46</f>
        <v>-1.4094869319469794E-6</v>
      </c>
      <c r="AI88" s="137">
        <f>AI15/AG15-AI46</f>
        <v>-6.9388939039072284E-17</v>
      </c>
      <c r="AJ88" s="137">
        <f>AJ15/AG15-AJ46</f>
        <v>0</v>
      </c>
      <c r="AK88" s="137">
        <f>AK15/AG15-AK46</f>
        <v>0</v>
      </c>
      <c r="AL88" s="137">
        <f>AL15/AG15-AL46</f>
        <v>0</v>
      </c>
      <c r="AM88" s="137">
        <f>AM15/AG15-AM46</f>
        <v>0</v>
      </c>
      <c r="AN88" s="137">
        <f>AN15/AG15-AN46</f>
        <v>0</v>
      </c>
      <c r="AT88" s="137">
        <f>AT15/AG15-AT46</f>
        <v>0</v>
      </c>
      <c r="AU88" s="137">
        <f>AU15/AG15-AU46</f>
        <v>0</v>
      </c>
      <c r="AZ88" s="32"/>
      <c r="BC88" s="139" t="s">
        <v>134</v>
      </c>
      <c r="BD88" s="136"/>
      <c r="BE88" s="136"/>
      <c r="BF88" s="136"/>
      <c r="BG88" s="138"/>
      <c r="BH88" s="137">
        <f>BH15/BG15-BH46</f>
        <v>8.8817841970012523E-16</v>
      </c>
      <c r="BI88" s="137">
        <f>BI15/BG15-BI46</f>
        <v>0</v>
      </c>
      <c r="BJ88" s="137">
        <f>BJ15/BG15-BJ46</f>
        <v>0</v>
      </c>
      <c r="BK88" s="137">
        <f>BK15/BG15-BK46</f>
        <v>0</v>
      </c>
      <c r="BL88" s="137">
        <f>BL15/BG15-BL46</f>
        <v>-1.1102230246251565E-16</v>
      </c>
      <c r="BM88" s="137">
        <f>BM15/BG15-BM46</f>
        <v>0</v>
      </c>
      <c r="BN88" s="137">
        <f>BN15/BG15-BN46</f>
        <v>0</v>
      </c>
      <c r="BT88" s="137">
        <f>BT15/BG15-BT46</f>
        <v>0</v>
      </c>
      <c r="BU88" s="137">
        <f>BU15/BG15-BU46</f>
        <v>0</v>
      </c>
    </row>
    <row r="89" spans="1:73" x14ac:dyDescent="0.3">
      <c r="C89" s="139" t="s">
        <v>136</v>
      </c>
      <c r="D89" s="136"/>
      <c r="E89" s="136"/>
      <c r="F89" s="136"/>
      <c r="G89" s="138"/>
      <c r="H89" s="137">
        <f>H16/G16-H47</f>
        <v>0</v>
      </c>
      <c r="I89" s="137">
        <f>I16/G16-I47</f>
        <v>0</v>
      </c>
      <c r="J89" s="137">
        <f>J16/G16-J47</f>
        <v>0</v>
      </c>
      <c r="K89" s="137">
        <f>K16/G16-K47</f>
        <v>0</v>
      </c>
      <c r="L89" s="137">
        <f>L16/G16-L47</f>
        <v>0</v>
      </c>
      <c r="M89" s="137">
        <f>M16/G16-M47</f>
        <v>0</v>
      </c>
      <c r="N89" s="137">
        <f>N16/G16-N47</f>
        <v>0</v>
      </c>
      <c r="T89" s="137">
        <f>T16/G16-T47</f>
        <v>0</v>
      </c>
      <c r="U89" s="137">
        <f>U16/G16-U47</f>
        <v>0</v>
      </c>
      <c r="V89" s="137"/>
      <c r="Z89" s="32"/>
      <c r="AC89" s="139" t="s">
        <v>136</v>
      </c>
      <c r="AD89" s="136"/>
      <c r="AE89" s="136"/>
      <c r="AF89" s="136"/>
      <c r="AG89" s="138"/>
      <c r="AH89" s="137">
        <f>AH16/AG16-AH47</f>
        <v>0</v>
      </c>
      <c r="AI89" s="137">
        <f>AI16/AG16-AI47</f>
        <v>0</v>
      </c>
      <c r="AJ89" s="137">
        <f>AJ16/AG16-AJ47</f>
        <v>0</v>
      </c>
      <c r="AK89" s="137">
        <f>AK16/AG16-AK47</f>
        <v>0</v>
      </c>
      <c r="AL89" s="137">
        <f>AL16/AG16-AL47</f>
        <v>0</v>
      </c>
      <c r="AM89" s="137">
        <f>AM16/AG16-AM47</f>
        <v>0</v>
      </c>
      <c r="AN89" s="137">
        <f>AN16/AG16-AN47</f>
        <v>0</v>
      </c>
      <c r="AT89" s="137">
        <f>AT16/AG16-AT47</f>
        <v>0</v>
      </c>
      <c r="AU89" s="137">
        <f>AU16/AG16-AU47</f>
        <v>0</v>
      </c>
      <c r="AZ89" s="32"/>
      <c r="BC89" s="139" t="s">
        <v>136</v>
      </c>
      <c r="BD89" s="136"/>
      <c r="BE89" s="136"/>
      <c r="BF89" s="136"/>
      <c r="BG89" s="138"/>
      <c r="BH89" s="137">
        <f>BH16/BG16-BH47</f>
        <v>0</v>
      </c>
      <c r="BI89" s="137">
        <f>BI16/BG16-BI47</f>
        <v>0</v>
      </c>
      <c r="BJ89" s="137">
        <f>BJ16/BG16-BJ47</f>
        <v>0</v>
      </c>
      <c r="BK89" s="137">
        <f>BK16/BG16-BK47</f>
        <v>0</v>
      </c>
      <c r="BL89" s="137">
        <f>BL16/BG16-BL47</f>
        <v>0</v>
      </c>
      <c r="BM89" s="137">
        <f>BM16/BG16-BM47</f>
        <v>0</v>
      </c>
      <c r="BN89" s="137">
        <f>BN16/BG16-BN47</f>
        <v>0</v>
      </c>
      <c r="BT89" s="137">
        <f>BT16/BG16-BT47</f>
        <v>0</v>
      </c>
      <c r="BU89" s="137">
        <f>BU16/BG16-BU47</f>
        <v>0</v>
      </c>
    </row>
    <row r="90" spans="1:73" x14ac:dyDescent="0.3">
      <c r="Z90" s="32"/>
      <c r="AZ90" s="32"/>
    </row>
    <row r="91" spans="1:73" x14ac:dyDescent="0.3">
      <c r="Z91" s="32"/>
      <c r="AZ91" s="32"/>
    </row>
    <row r="92" spans="1:73" x14ac:dyDescent="0.3">
      <c r="A92" s="140"/>
      <c r="Z92" s="32"/>
      <c r="AA92" s="140"/>
      <c r="AZ92" s="32"/>
      <c r="BA92" s="140"/>
    </row>
    <row r="93" spans="1:73" x14ac:dyDescent="0.3">
      <c r="A93" s="140"/>
      <c r="Z93" s="32"/>
      <c r="AA93" s="140"/>
      <c r="AZ93" s="32"/>
      <c r="BA93" s="140"/>
    </row>
    <row r="94" spans="1:73" x14ac:dyDescent="0.3">
      <c r="A94" s="140"/>
      <c r="Z94" s="32"/>
      <c r="AA94" s="140"/>
      <c r="AZ94" s="32"/>
      <c r="BA94" s="140"/>
    </row>
    <row r="95" spans="1:73" x14ac:dyDescent="0.3">
      <c r="A95" s="140"/>
      <c r="H95" s="141"/>
      <c r="Z95" s="32"/>
      <c r="AA95" s="140"/>
      <c r="AH95" s="141"/>
      <c r="AZ95" s="32"/>
      <c r="BA95" s="140"/>
      <c r="BH95" s="141"/>
    </row>
    <row r="96" spans="1:73" x14ac:dyDescent="0.3">
      <c r="A96" s="140"/>
      <c r="H96" s="141"/>
      <c r="Z96" s="32"/>
      <c r="AA96" s="140"/>
      <c r="AH96" s="141"/>
      <c r="AZ96" s="32"/>
      <c r="BA96" s="140"/>
      <c r="BH96" s="141"/>
    </row>
    <row r="97" spans="1:60" x14ac:dyDescent="0.3">
      <c r="A97" s="140"/>
      <c r="H97" s="141"/>
      <c r="Z97" s="32"/>
      <c r="AA97" s="140"/>
      <c r="AH97" s="141"/>
      <c r="AZ97" s="32"/>
      <c r="BA97" s="140"/>
      <c r="BH97" s="141"/>
    </row>
    <row r="98" spans="1:60" x14ac:dyDescent="0.3">
      <c r="A98" s="140"/>
      <c r="H98" s="141"/>
      <c r="Z98" s="32"/>
      <c r="AA98" s="140"/>
      <c r="AH98" s="141"/>
      <c r="AZ98" s="32"/>
      <c r="BA98" s="140"/>
      <c r="BH98" s="141"/>
    </row>
    <row r="99" spans="1:60" x14ac:dyDescent="0.3">
      <c r="A99" s="140"/>
      <c r="Z99" s="32"/>
      <c r="AA99" s="140"/>
      <c r="AZ99" s="32"/>
      <c r="BA99" s="140"/>
    </row>
    <row r="100" spans="1:60" x14ac:dyDescent="0.3">
      <c r="A100" s="140"/>
      <c r="Z100" s="32"/>
      <c r="AA100" s="140"/>
      <c r="AZ100" s="32"/>
      <c r="BA100" s="140"/>
    </row>
    <row r="101" spans="1:60" x14ac:dyDescent="0.3">
      <c r="A101" s="140"/>
      <c r="Z101" s="32"/>
      <c r="AA101" s="140"/>
      <c r="AZ101" s="32"/>
      <c r="BA101" s="140"/>
    </row>
    <row r="102" spans="1:60" x14ac:dyDescent="0.3">
      <c r="A102" s="140"/>
      <c r="Z102" s="32"/>
      <c r="AA102" s="140"/>
      <c r="AZ102" s="32"/>
      <c r="BA102" s="140"/>
    </row>
    <row r="103" spans="1:60" x14ac:dyDescent="0.3">
      <c r="A103" s="140"/>
      <c r="Z103" s="32"/>
      <c r="AA103" s="140"/>
      <c r="AZ103" s="32"/>
      <c r="BA103" s="140"/>
    </row>
    <row r="104" spans="1:60" x14ac:dyDescent="0.3">
      <c r="A104" s="140"/>
      <c r="Z104" s="32"/>
      <c r="AA104" s="140"/>
      <c r="AZ104" s="32"/>
      <c r="BA104" s="140"/>
    </row>
    <row r="105" spans="1:60" x14ac:dyDescent="0.3">
      <c r="A105" s="140"/>
      <c r="Z105" s="32"/>
      <c r="AA105" s="140"/>
      <c r="AZ105" s="32"/>
      <c r="BA105" s="140"/>
    </row>
    <row r="106" spans="1:60" x14ac:dyDescent="0.3">
      <c r="A106" s="140"/>
      <c r="Z106" s="32"/>
      <c r="AA106" s="140"/>
      <c r="AZ106" s="32"/>
      <c r="BA106" s="140"/>
    </row>
    <row r="107" spans="1:60" x14ac:dyDescent="0.3">
      <c r="A107" s="140"/>
      <c r="Z107" s="32"/>
      <c r="AA107" s="140"/>
      <c r="AZ107" s="32"/>
      <c r="BA107" s="140"/>
    </row>
    <row r="108" spans="1:60" x14ac:dyDescent="0.3">
      <c r="A108" s="140"/>
      <c r="Z108" s="32"/>
      <c r="AA108" s="140"/>
      <c r="AZ108" s="32"/>
      <c r="BA108" s="140"/>
    </row>
    <row r="109" spans="1:60" x14ac:dyDescent="0.3">
      <c r="A109" s="140"/>
      <c r="Z109" s="32"/>
      <c r="AA109" s="140"/>
      <c r="AZ109" s="32"/>
      <c r="BA109" s="140"/>
    </row>
    <row r="110" spans="1:60" x14ac:dyDescent="0.3">
      <c r="A110" s="140"/>
      <c r="Z110" s="32"/>
      <c r="AA110" s="140"/>
      <c r="AZ110" s="32"/>
      <c r="BA110" s="140"/>
    </row>
    <row r="111" spans="1:60" x14ac:dyDescent="0.3">
      <c r="A111" s="140"/>
      <c r="Z111" s="32"/>
      <c r="AA111" s="140"/>
      <c r="AZ111" s="32"/>
      <c r="BA111" s="140"/>
    </row>
    <row r="112" spans="1:60" x14ac:dyDescent="0.3">
      <c r="A112" s="140"/>
      <c r="Z112" s="32"/>
      <c r="AA112" s="140"/>
      <c r="AZ112" s="32"/>
      <c r="BA112" s="140"/>
    </row>
    <row r="113" spans="1:67" x14ac:dyDescent="0.3">
      <c r="A113" s="140"/>
      <c r="Z113" s="32"/>
      <c r="AA113" s="140"/>
      <c r="AZ113" s="32"/>
      <c r="BA113" s="140"/>
    </row>
    <row r="114" spans="1:67" x14ac:dyDescent="0.3">
      <c r="A114" s="140"/>
      <c r="Z114" s="32"/>
      <c r="AA114" s="140"/>
      <c r="AZ114" s="32"/>
      <c r="BA114" s="140"/>
    </row>
    <row r="115" spans="1:67" x14ac:dyDescent="0.3">
      <c r="A115" s="140"/>
      <c r="Z115" s="32"/>
      <c r="AA115" s="140"/>
      <c r="AZ115" s="32"/>
      <c r="BA115" s="140"/>
    </row>
    <row r="116" spans="1:67" x14ac:dyDescent="0.3">
      <c r="A116" s="140"/>
      <c r="Z116" s="32"/>
      <c r="AA116" s="140"/>
      <c r="AZ116" s="32"/>
      <c r="BA116" s="140"/>
    </row>
    <row r="117" spans="1:67" x14ac:dyDescent="0.3">
      <c r="A117" s="140"/>
      <c r="Z117" s="32"/>
      <c r="AA117" s="140"/>
      <c r="AZ117" s="32"/>
      <c r="BA117" s="140"/>
    </row>
    <row r="118" spans="1:67" x14ac:dyDescent="0.3">
      <c r="A118" s="140"/>
      <c r="C118" s="142"/>
      <c r="D118" s="143"/>
      <c r="F118" s="143"/>
      <c r="G118" s="143"/>
      <c r="H118" s="143"/>
      <c r="I118" s="143"/>
      <c r="J118" s="143"/>
      <c r="K118" s="143"/>
      <c r="L118" s="143"/>
      <c r="M118" s="143"/>
      <c r="N118" s="143"/>
      <c r="O118" s="143"/>
      <c r="Z118" s="32"/>
      <c r="AA118" s="140"/>
      <c r="AC118" s="142"/>
      <c r="AD118" s="143"/>
      <c r="AF118" s="143"/>
      <c r="AG118" s="143"/>
      <c r="AH118" s="143"/>
      <c r="AI118" s="143"/>
      <c r="AJ118" s="143"/>
      <c r="AK118" s="143"/>
      <c r="AL118" s="143"/>
      <c r="AM118" s="143"/>
      <c r="AN118" s="143"/>
      <c r="AO118" s="143"/>
      <c r="AZ118" s="32"/>
      <c r="BA118" s="140"/>
      <c r="BC118" s="142"/>
      <c r="BD118" s="143"/>
      <c r="BF118" s="143"/>
      <c r="BG118" s="143"/>
      <c r="BH118" s="143"/>
      <c r="BI118" s="143"/>
      <c r="BJ118" s="143"/>
      <c r="BK118" s="143"/>
      <c r="BL118" s="143"/>
      <c r="BM118" s="143"/>
      <c r="BN118" s="143"/>
      <c r="BO118" s="143"/>
    </row>
    <row r="119" spans="1:67" x14ac:dyDescent="0.3">
      <c r="A119" s="140"/>
      <c r="Z119" s="32"/>
      <c r="AA119" s="140"/>
      <c r="AZ119" s="32"/>
      <c r="BA119" s="140"/>
    </row>
    <row r="120" spans="1:67" x14ac:dyDescent="0.3">
      <c r="A120" s="140"/>
      <c r="Z120" s="32"/>
      <c r="AA120" s="140"/>
      <c r="AZ120" s="32"/>
      <c r="BA120" s="140"/>
    </row>
    <row r="121" spans="1:67" x14ac:dyDescent="0.3">
      <c r="Z121" s="32"/>
      <c r="AZ121" s="32"/>
    </row>
    <row r="122" spans="1:67" x14ac:dyDescent="0.3">
      <c r="Z122" s="32"/>
      <c r="AZ122" s="32"/>
    </row>
    <row r="123" spans="1:67" x14ac:dyDescent="0.3">
      <c r="Z123" s="32"/>
      <c r="AZ123" s="32"/>
    </row>
    <row r="124" spans="1:67" x14ac:dyDescent="0.3">
      <c r="Z124" s="32"/>
      <c r="AZ124" s="32"/>
    </row>
    <row r="125" spans="1:67" x14ac:dyDescent="0.3">
      <c r="Z125" s="32"/>
      <c r="AZ125" s="32"/>
    </row>
    <row r="126" spans="1:67" x14ac:dyDescent="0.3">
      <c r="Z126" s="32"/>
      <c r="AZ126" s="32"/>
    </row>
    <row r="127" spans="1:67" x14ac:dyDescent="0.3">
      <c r="Z127" s="32"/>
      <c r="AZ127" s="32"/>
    </row>
    <row r="128" spans="1:67" x14ac:dyDescent="0.3">
      <c r="Z128" s="32"/>
      <c r="AZ128" s="32"/>
    </row>
    <row r="129" spans="26:52" x14ac:dyDescent="0.3">
      <c r="Z129" s="32"/>
      <c r="AZ129" s="32"/>
    </row>
    <row r="130" spans="26:52" x14ac:dyDescent="0.3">
      <c r="Z130" s="32"/>
      <c r="AZ130" s="32"/>
    </row>
    <row r="131" spans="26:52" x14ac:dyDescent="0.3">
      <c r="Z131" s="32"/>
      <c r="AZ131" s="32"/>
    </row>
    <row r="132" spans="26:52" x14ac:dyDescent="0.3">
      <c r="Z132" s="32"/>
      <c r="AZ132" s="32"/>
    </row>
    <row r="133" spans="26:52" x14ac:dyDescent="0.3">
      <c r="Z133" s="32"/>
      <c r="AZ133" s="32"/>
    </row>
    <row r="134" spans="26:52" x14ac:dyDescent="0.3">
      <c r="Z134" s="32"/>
      <c r="AZ134" s="32"/>
    </row>
    <row r="135" spans="26:52" x14ac:dyDescent="0.3">
      <c r="Z135" s="32"/>
      <c r="AZ135" s="32"/>
    </row>
    <row r="136" spans="26:52" x14ac:dyDescent="0.3">
      <c r="Z136" s="32"/>
      <c r="AZ136" s="32"/>
    </row>
    <row r="137" spans="26:52" x14ac:dyDescent="0.3">
      <c r="Z137" s="32"/>
      <c r="AZ137" s="32"/>
    </row>
    <row r="138" spans="26:52" x14ac:dyDescent="0.3">
      <c r="Z138" s="32"/>
      <c r="AZ138" s="32"/>
    </row>
    <row r="139" spans="26:52" x14ac:dyDescent="0.3">
      <c r="Z139" s="32"/>
      <c r="AZ139" s="32"/>
    </row>
    <row r="140" spans="26:52" x14ac:dyDescent="0.3">
      <c r="Z140" s="32"/>
      <c r="AZ140" s="32"/>
    </row>
    <row r="141" spans="26:52" x14ac:dyDescent="0.3">
      <c r="Z141" s="32"/>
      <c r="AZ141" s="32"/>
    </row>
    <row r="142" spans="26:52" x14ac:dyDescent="0.3">
      <c r="Z142" s="32"/>
      <c r="AZ142" s="32"/>
    </row>
    <row r="143" spans="26:52" x14ac:dyDescent="0.3">
      <c r="Z143" s="32"/>
      <c r="AZ143" s="32"/>
    </row>
    <row r="144" spans="26:52" x14ac:dyDescent="0.3">
      <c r="Z144" s="32"/>
      <c r="AZ144" s="32"/>
    </row>
  </sheetData>
  <pageMargins left="0.3" right="0.3" top="0.25" bottom="0.25" header="0.05" footer="0.05"/>
  <pageSetup paperSize="5" scale="80" orientation="landscape" r:id="rId1"/>
  <headerFooter>
    <oddHeader>&amp;RDEF’s Response to OPC POD 1 (1-26)
Q7
Page &amp;P of &amp;N</oddHeader>
    <oddFooter xml:space="preserve">&amp;R&amp;9&amp;Z&amp;F "&amp;A" &amp;D &amp;[Time
20240025-OPCPOD1-00004288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FB6-2376-49F0-8C29-A7243CD69344}">
  <dimension ref="A2:BR229"/>
  <sheetViews>
    <sheetView tabSelected="1" zoomScale="70" zoomScaleNormal="70" workbookViewId="0">
      <selection activeCell="G65" sqref="G65"/>
    </sheetView>
  </sheetViews>
  <sheetFormatPr defaultColWidth="12" defaultRowHeight="13.8" x14ac:dyDescent="0.25"/>
  <cols>
    <col min="1" max="1" width="6" style="159" customWidth="1"/>
    <col min="2" max="4" width="3.08984375" style="151" customWidth="1"/>
    <col min="5" max="5" width="18.36328125" style="151" customWidth="1"/>
    <col min="6" max="7" width="3.08984375" style="151" customWidth="1"/>
    <col min="8" max="8" width="11.08984375" style="151" customWidth="1"/>
    <col min="9" max="9" width="3.08984375" style="151" customWidth="1"/>
    <col min="10" max="10" width="11.08984375" style="180" customWidth="1"/>
    <col min="11" max="11" width="3.08984375" style="151" customWidth="1"/>
    <col min="12" max="12" width="11.08984375" style="151" customWidth="1"/>
    <col min="13" max="13" width="3.08984375" style="151" customWidth="1"/>
    <col min="14" max="14" width="11.08984375" style="151" customWidth="1"/>
    <col min="15" max="15" width="3.08984375" style="151" customWidth="1"/>
    <col min="16" max="16" width="11.08984375" style="151" customWidth="1"/>
    <col min="17" max="17" width="5.1796875" style="151" customWidth="1"/>
    <col min="18" max="18" width="11.08984375" style="151" customWidth="1"/>
    <col min="19" max="25" width="1.81640625" style="151" customWidth="1"/>
    <col min="26" max="26" width="2.08984375" style="151" customWidth="1"/>
    <col min="27" max="27" width="6" style="159" customWidth="1"/>
    <col min="28" max="30" width="3.08984375" style="151" customWidth="1"/>
    <col min="31" max="31" width="18.36328125" style="151" customWidth="1"/>
    <col min="32" max="33" width="3.08984375" style="151" customWidth="1"/>
    <col min="34" max="34" width="11.08984375" style="151" customWidth="1"/>
    <col min="35" max="35" width="3.08984375" style="151" customWidth="1"/>
    <col min="36" max="36" width="11.08984375" style="180" customWidth="1"/>
    <col min="37" max="37" width="3.08984375" style="151" customWidth="1"/>
    <col min="38" max="38" width="11.08984375" style="151" customWidth="1"/>
    <col min="39" max="39" width="3.08984375" style="151" customWidth="1"/>
    <col min="40" max="40" width="11.08984375" style="151" customWidth="1"/>
    <col min="41" max="41" width="3.08984375" style="151" customWidth="1"/>
    <col min="42" max="42" width="11.08984375" style="151" customWidth="1"/>
    <col min="43" max="43" width="5.1796875" style="151" customWidth="1"/>
    <col min="44" max="44" width="11.08984375" style="151" customWidth="1"/>
    <col min="45" max="51" width="1.08984375" style="151" customWidth="1"/>
    <col min="52" max="52" width="1.81640625" style="151" customWidth="1"/>
    <col min="53" max="53" width="6" style="159" customWidth="1"/>
    <col min="54" max="56" width="3.08984375" style="151" customWidth="1"/>
    <col min="57" max="57" width="18.36328125" style="151" customWidth="1"/>
    <col min="58" max="59" width="3.08984375" style="151" customWidth="1"/>
    <col min="60" max="60" width="11.08984375" style="151" customWidth="1"/>
    <col min="61" max="61" width="3.08984375" style="151" customWidth="1"/>
    <col min="62" max="62" width="11.08984375" style="180" customWidth="1"/>
    <col min="63" max="63" width="3.08984375" style="151" customWidth="1"/>
    <col min="64" max="64" width="11.08984375" style="151" customWidth="1"/>
    <col min="65" max="65" width="3.08984375" style="151" customWidth="1"/>
    <col min="66" max="66" width="11.08984375" style="151" customWidth="1"/>
    <col min="67" max="67" width="3.08984375" style="151" customWidth="1"/>
    <col min="68" max="68" width="11.08984375" style="151" customWidth="1"/>
    <col min="69" max="69" width="5.1796875" style="151" customWidth="1"/>
    <col min="70" max="70" width="7.81640625" style="151" bestFit="1" customWidth="1"/>
    <col min="71" max="16384" width="12" style="151"/>
  </cols>
  <sheetData>
    <row r="2" spans="1:70" s="29" customFormat="1" x14ac:dyDescent="0.3">
      <c r="A2" s="27">
        <f>YEAR('Procedures &amp; Inputs'!$F$22)</f>
        <v>2027</v>
      </c>
      <c r="B2" s="27"/>
      <c r="C2" s="27"/>
      <c r="D2" s="27"/>
      <c r="E2" s="27"/>
      <c r="F2" s="27"/>
      <c r="G2" s="27"/>
      <c r="H2" s="27"/>
      <c r="I2" s="27"/>
      <c r="J2" s="27"/>
      <c r="K2" s="27"/>
      <c r="L2" s="27"/>
      <c r="M2" s="27"/>
      <c r="N2" s="27"/>
      <c r="O2" s="27"/>
      <c r="P2" s="27"/>
      <c r="Q2" s="27"/>
      <c r="R2" s="27"/>
      <c r="Z2" s="28"/>
      <c r="AA2" s="27">
        <f>YEAR('Procedures &amp; Inputs'!$F$21)</f>
        <v>2026</v>
      </c>
      <c r="AB2" s="27"/>
      <c r="AC2" s="27"/>
      <c r="AD2" s="27"/>
      <c r="AE2" s="27"/>
      <c r="AF2" s="27"/>
      <c r="AG2" s="27"/>
      <c r="AH2" s="27"/>
      <c r="AI2" s="27"/>
      <c r="AJ2" s="27"/>
      <c r="AK2" s="27"/>
      <c r="AL2" s="27"/>
      <c r="AM2" s="27"/>
      <c r="AN2" s="27"/>
      <c r="AO2" s="27"/>
      <c r="AP2" s="27"/>
      <c r="AQ2" s="27"/>
      <c r="AR2" s="27"/>
      <c r="AZ2" s="28"/>
      <c r="BA2" s="27">
        <f>YEAR('Procedures &amp; Inputs'!$F$20)</f>
        <v>2025</v>
      </c>
      <c r="BB2" s="27"/>
      <c r="BC2" s="27"/>
      <c r="BD2" s="27"/>
      <c r="BE2" s="27"/>
      <c r="BF2" s="27"/>
      <c r="BG2" s="27"/>
      <c r="BH2" s="27"/>
      <c r="BI2" s="27"/>
      <c r="BJ2" s="27"/>
      <c r="BK2" s="27"/>
      <c r="BL2" s="27"/>
      <c r="BM2" s="27"/>
      <c r="BN2" s="27"/>
      <c r="BO2" s="27"/>
      <c r="BP2" s="27"/>
      <c r="BQ2" s="27"/>
      <c r="BR2" s="27"/>
    </row>
    <row r="3" spans="1:70" s="3" customFormat="1" x14ac:dyDescent="0.3">
      <c r="A3" s="1" t="s">
        <v>0</v>
      </c>
      <c r="B3" s="1"/>
      <c r="C3" s="2"/>
      <c r="I3" s="2" t="s">
        <v>1</v>
      </c>
      <c r="J3" s="5"/>
      <c r="K3" s="5"/>
      <c r="L3" s="5"/>
      <c r="M3" s="5"/>
      <c r="N3" s="5"/>
      <c r="O3" s="1"/>
      <c r="P3" s="30"/>
      <c r="Q3" s="144" t="str">
        <f>RIGHT('E-6a (1)'!$E$27,12)</f>
        <v>Page 8 of 13</v>
      </c>
      <c r="Z3" s="32"/>
      <c r="AA3" s="1" t="s">
        <v>0</v>
      </c>
      <c r="AB3" s="1"/>
      <c r="AC3" s="2"/>
      <c r="AI3" s="2" t="s">
        <v>1</v>
      </c>
      <c r="AJ3" s="5"/>
      <c r="AK3" s="5"/>
      <c r="AL3" s="5"/>
      <c r="AM3" s="5"/>
      <c r="AN3" s="5"/>
      <c r="AO3" s="1"/>
      <c r="AP3" s="30"/>
      <c r="AQ3" s="144" t="str">
        <f>RIGHT('E-6a (1)'!$E$28,12)</f>
        <v>Page 9 of 13</v>
      </c>
      <c r="AR3" s="27"/>
      <c r="AZ3" s="32"/>
      <c r="BA3" s="1" t="s">
        <v>0</v>
      </c>
      <c r="BB3" s="1"/>
      <c r="BC3" s="2"/>
      <c r="BI3" s="2" t="s">
        <v>1</v>
      </c>
      <c r="BJ3" s="5"/>
      <c r="BK3" s="5"/>
      <c r="BL3" s="5"/>
      <c r="BM3" s="5"/>
      <c r="BN3" s="5"/>
      <c r="BO3" s="1"/>
      <c r="BP3" s="1"/>
      <c r="BQ3" s="144" t="str">
        <f>RIGHT('E-6a (1)'!$E$29,13)</f>
        <v>Page 10 of 13</v>
      </c>
    </row>
    <row r="4" spans="1:70" s="3" customFormat="1" ht="4.5" customHeight="1" x14ac:dyDescent="0.3">
      <c r="A4" s="145"/>
      <c r="B4" s="7"/>
      <c r="C4" s="8"/>
      <c r="D4" s="8"/>
      <c r="E4" s="8"/>
      <c r="F4" s="8"/>
      <c r="G4" s="8"/>
      <c r="H4" s="8"/>
      <c r="I4" s="8"/>
      <c r="J4" s="8"/>
      <c r="K4" s="8"/>
      <c r="L4" s="8"/>
      <c r="M4" s="8"/>
      <c r="N4" s="8"/>
      <c r="O4" s="8"/>
      <c r="P4" s="8"/>
      <c r="Q4" s="8"/>
      <c r="R4" s="8"/>
      <c r="Z4" s="32"/>
      <c r="AA4" s="145"/>
      <c r="AB4" s="7"/>
      <c r="AC4" s="8"/>
      <c r="AD4" s="8"/>
      <c r="AE4" s="8"/>
      <c r="AF4" s="8"/>
      <c r="AG4" s="8"/>
      <c r="AH4" s="8"/>
      <c r="AI4" s="8"/>
      <c r="AJ4" s="8"/>
      <c r="AK4" s="8"/>
      <c r="AL4" s="8"/>
      <c r="AM4" s="8"/>
      <c r="AN4" s="8"/>
      <c r="AO4" s="8"/>
      <c r="AP4" s="8"/>
      <c r="AQ4" s="8"/>
      <c r="AR4" s="27"/>
      <c r="AZ4" s="32"/>
      <c r="BA4" s="145"/>
      <c r="BB4" s="7"/>
      <c r="BC4" s="8"/>
      <c r="BD4" s="8"/>
      <c r="BE4" s="8"/>
      <c r="BF4" s="8"/>
      <c r="BG4" s="8"/>
      <c r="BH4" s="8"/>
      <c r="BI4" s="8"/>
      <c r="BJ4" s="8"/>
      <c r="BK4" s="8"/>
      <c r="BL4" s="8"/>
      <c r="BM4" s="8"/>
      <c r="BN4" s="8"/>
      <c r="BO4" s="8"/>
      <c r="BP4" s="8"/>
      <c r="BQ4" s="8"/>
      <c r="BR4" s="8"/>
    </row>
    <row r="5" spans="1:70" s="3" customFormat="1" x14ac:dyDescent="0.3">
      <c r="A5" s="9" t="s">
        <v>3</v>
      </c>
      <c r="B5" s="9"/>
      <c r="H5" s="6" t="s">
        <v>4</v>
      </c>
      <c r="I5" s="3" t="s">
        <v>32</v>
      </c>
      <c r="K5" s="5"/>
      <c r="L5" s="5"/>
      <c r="M5" s="5"/>
      <c r="N5" s="3" t="s">
        <v>6</v>
      </c>
      <c r="Z5" s="32"/>
      <c r="AA5" s="9" t="s">
        <v>3</v>
      </c>
      <c r="AB5" s="9"/>
      <c r="AH5" s="6" t="s">
        <v>4</v>
      </c>
      <c r="AI5" s="2" t="s">
        <v>32</v>
      </c>
      <c r="AK5" s="5"/>
      <c r="AL5" s="5"/>
      <c r="AM5" s="5"/>
      <c r="AN5" s="9" t="s">
        <v>6</v>
      </c>
      <c r="AR5" s="27"/>
      <c r="AZ5" s="32"/>
      <c r="BA5" s="9" t="s">
        <v>3</v>
      </c>
      <c r="BB5" s="9"/>
      <c r="BH5" s="6" t="s">
        <v>4</v>
      </c>
      <c r="BI5" s="3" t="s">
        <v>32</v>
      </c>
      <c r="BK5" s="5"/>
      <c r="BL5" s="5"/>
      <c r="BM5" s="5"/>
      <c r="BN5" s="9" t="s">
        <v>6</v>
      </c>
    </row>
    <row r="6" spans="1:70" s="3" customFormat="1" x14ac:dyDescent="0.3">
      <c r="A6" s="11" t="s">
        <v>8</v>
      </c>
      <c r="B6" s="11"/>
      <c r="F6" s="1"/>
      <c r="G6" s="5"/>
      <c r="H6" s="5"/>
      <c r="I6" s="5"/>
      <c r="J6" s="5"/>
      <c r="K6" s="5"/>
      <c r="L6" s="5"/>
      <c r="M6" s="5"/>
      <c r="N6" s="3" t="str">
        <f>+'Procedures &amp; Inputs'!$F$10</f>
        <v>__X__  Projected Test Year Ended 12/31/27</v>
      </c>
      <c r="Z6" s="32"/>
      <c r="AA6" s="11" t="s">
        <v>8</v>
      </c>
      <c r="AB6" s="11"/>
      <c r="AF6" s="1"/>
      <c r="AG6" s="5"/>
      <c r="AH6" s="5"/>
      <c r="AI6" s="5"/>
      <c r="AJ6" s="5"/>
      <c r="AK6" s="5"/>
      <c r="AL6" s="5"/>
      <c r="AM6" s="5"/>
      <c r="AN6" s="10" t="str">
        <f>+'Procedures &amp; Inputs'!$F$11</f>
        <v>__X__  Projected Test Year Ended 12/31/26</v>
      </c>
      <c r="AR6" s="27"/>
      <c r="AZ6" s="32"/>
      <c r="BA6" s="11" t="s">
        <v>8</v>
      </c>
      <c r="BB6" s="11"/>
      <c r="BF6" s="1"/>
      <c r="BG6" s="5"/>
      <c r="BH6" s="5"/>
      <c r="BI6" s="5"/>
      <c r="BJ6" s="5"/>
      <c r="BK6" s="5"/>
      <c r="BL6" s="5"/>
      <c r="BM6" s="5"/>
      <c r="BN6" s="10" t="str">
        <f>+'Procedures &amp; Inputs'!$F$12</f>
        <v>__X__  Projected Test Year Ended 12/31/25</v>
      </c>
    </row>
    <row r="7" spans="1:70" s="3" customFormat="1" x14ac:dyDescent="0.3">
      <c r="A7" s="11" t="s">
        <v>255</v>
      </c>
      <c r="B7" s="11"/>
      <c r="C7" s="13"/>
      <c r="F7" s="1"/>
      <c r="G7" s="5"/>
      <c r="H7" s="5"/>
      <c r="I7" s="5"/>
      <c r="J7" s="5"/>
      <c r="K7" s="5"/>
      <c r="L7" s="5"/>
      <c r="M7" s="5"/>
      <c r="N7" s="3" t="str">
        <f>+'Procedures &amp; Inputs'!$H$16</f>
        <v>Witness:  Borsch, Olivier</v>
      </c>
      <c r="Z7" s="32"/>
      <c r="AA7" s="11" t="s">
        <v>255</v>
      </c>
      <c r="AB7" s="11"/>
      <c r="AC7" s="13"/>
      <c r="AF7" s="1"/>
      <c r="AG7" s="5"/>
      <c r="AH7" s="5"/>
      <c r="AI7" s="5"/>
      <c r="AJ7" s="5"/>
      <c r="AK7" s="5"/>
      <c r="AL7" s="5"/>
      <c r="AM7" s="5"/>
      <c r="AN7" s="9" t="str">
        <f>+'Procedures &amp; Inputs'!$H$16</f>
        <v>Witness:  Borsch, Olivier</v>
      </c>
      <c r="AR7" s="27"/>
      <c r="AZ7" s="32"/>
      <c r="BA7" s="11" t="s">
        <v>255</v>
      </c>
      <c r="BB7" s="11"/>
      <c r="BC7" s="13"/>
      <c r="BF7" s="1"/>
      <c r="BG7" s="5"/>
      <c r="BH7" s="5"/>
      <c r="BI7" s="5"/>
      <c r="BJ7" s="5"/>
      <c r="BK7" s="5"/>
      <c r="BL7" s="5"/>
      <c r="BM7" s="5"/>
      <c r="BN7" s="9" t="str">
        <f>+'Procedures &amp; Inputs'!$H$16</f>
        <v>Witness:  Borsch, Olivier</v>
      </c>
    </row>
    <row r="8" spans="1:70" s="3" customFormat="1" ht="6" customHeight="1" x14ac:dyDescent="0.3">
      <c r="A8" s="145"/>
      <c r="B8" s="7"/>
      <c r="C8" s="146"/>
      <c r="D8" s="8"/>
      <c r="E8" s="8"/>
      <c r="F8" s="147"/>
      <c r="G8" s="148"/>
      <c r="H8" s="148"/>
      <c r="I8" s="148"/>
      <c r="J8" s="148"/>
      <c r="K8" s="148"/>
      <c r="L8" s="148"/>
      <c r="M8" s="148"/>
      <c r="N8" s="148"/>
      <c r="O8" s="7"/>
      <c r="P8" s="8"/>
      <c r="Q8" s="8"/>
      <c r="R8" s="8"/>
      <c r="Z8" s="32"/>
      <c r="AA8" s="145"/>
      <c r="AB8" s="7"/>
      <c r="AC8" s="146"/>
      <c r="AD8" s="8"/>
      <c r="AE8" s="8"/>
      <c r="AF8" s="147"/>
      <c r="AG8" s="148"/>
      <c r="AH8" s="148"/>
      <c r="AI8" s="148"/>
      <c r="AJ8" s="148"/>
      <c r="AK8" s="148"/>
      <c r="AL8" s="148"/>
      <c r="AM8" s="148"/>
      <c r="AN8" s="148"/>
      <c r="AO8" s="7"/>
      <c r="AP8" s="8"/>
      <c r="AQ8" s="8"/>
      <c r="AR8" s="27"/>
      <c r="AZ8" s="32"/>
      <c r="BA8" s="145"/>
      <c r="BB8" s="7"/>
      <c r="BC8" s="146"/>
      <c r="BD8" s="8"/>
      <c r="BE8" s="8"/>
      <c r="BF8" s="147"/>
      <c r="BG8" s="148"/>
      <c r="BH8" s="148"/>
      <c r="BI8" s="148"/>
      <c r="BJ8" s="148"/>
      <c r="BK8" s="148"/>
      <c r="BL8" s="148"/>
      <c r="BM8" s="148"/>
      <c r="BN8" s="148"/>
      <c r="BO8" s="7"/>
      <c r="BP8" s="8"/>
      <c r="BQ8" s="8"/>
      <c r="BR8" s="8"/>
    </row>
    <row r="9" spans="1:70" s="150" customFormat="1" x14ac:dyDescent="0.3">
      <c r="A9" s="149"/>
      <c r="C9" s="151"/>
      <c r="D9" s="151"/>
      <c r="E9" s="151"/>
      <c r="F9" s="151"/>
      <c r="G9" s="151"/>
      <c r="H9" s="152" t="s">
        <v>137</v>
      </c>
      <c r="I9" s="152"/>
      <c r="J9" s="153" t="s">
        <v>138</v>
      </c>
      <c r="K9" s="152"/>
      <c r="L9" s="152" t="s">
        <v>139</v>
      </c>
      <c r="M9" s="152"/>
      <c r="N9" s="152" t="s">
        <v>140</v>
      </c>
      <c r="O9" s="152"/>
      <c r="P9" s="154" t="s">
        <v>141</v>
      </c>
      <c r="Q9" s="154"/>
      <c r="S9" s="151"/>
      <c r="T9" s="151"/>
      <c r="U9" s="155"/>
      <c r="V9" s="151"/>
      <c r="W9" s="156"/>
      <c r="X9" s="151"/>
      <c r="Y9" s="157"/>
      <c r="Z9" s="158"/>
      <c r="AA9" s="149"/>
      <c r="AC9" s="151"/>
      <c r="AD9" s="151"/>
      <c r="AE9" s="151"/>
      <c r="AF9" s="151"/>
      <c r="AG9" s="151"/>
      <c r="AH9" s="152" t="s">
        <v>137</v>
      </c>
      <c r="AI9" s="152"/>
      <c r="AJ9" s="153" t="s">
        <v>138</v>
      </c>
      <c r="AK9" s="152"/>
      <c r="AL9" s="152" t="s">
        <v>139</v>
      </c>
      <c r="AM9" s="152"/>
      <c r="AN9" s="152" t="s">
        <v>140</v>
      </c>
      <c r="AO9" s="152"/>
      <c r="AP9" s="154" t="s">
        <v>141</v>
      </c>
      <c r="AQ9" s="154"/>
      <c r="AR9" s="27"/>
      <c r="AZ9" s="158"/>
      <c r="BA9" s="149"/>
      <c r="BC9" s="151"/>
      <c r="BD9" s="151"/>
      <c r="BE9" s="151"/>
      <c r="BF9" s="151"/>
      <c r="BG9" s="151"/>
      <c r="BH9" s="152" t="s">
        <v>137</v>
      </c>
      <c r="BI9" s="152"/>
      <c r="BJ9" s="153" t="s">
        <v>138</v>
      </c>
      <c r="BK9" s="152"/>
      <c r="BL9" s="152" t="s">
        <v>139</v>
      </c>
      <c r="BM9" s="152"/>
      <c r="BN9" s="152" t="s">
        <v>140</v>
      </c>
      <c r="BO9" s="152"/>
      <c r="BP9" s="154" t="s">
        <v>141</v>
      </c>
      <c r="BQ9" s="154"/>
    </row>
    <row r="10" spans="1:70" x14ac:dyDescent="0.3">
      <c r="C10" s="150"/>
      <c r="D10" s="150"/>
      <c r="E10" s="150"/>
      <c r="F10" s="150"/>
      <c r="G10" s="150"/>
      <c r="H10" s="160" t="s">
        <v>142</v>
      </c>
      <c r="I10" s="161"/>
      <c r="J10" s="162" t="s">
        <v>143</v>
      </c>
      <c r="K10" s="161"/>
      <c r="L10" s="160" t="s">
        <v>144</v>
      </c>
      <c r="M10" s="161"/>
      <c r="N10" s="161" t="s">
        <v>145</v>
      </c>
      <c r="O10" s="160" t="s">
        <v>146</v>
      </c>
      <c r="P10" s="161" t="s">
        <v>145</v>
      </c>
      <c r="Q10" s="161"/>
      <c r="R10" s="163"/>
      <c r="S10" s="164"/>
      <c r="T10" s="164"/>
      <c r="U10" s="164"/>
      <c r="V10" s="165"/>
      <c r="W10" s="165"/>
      <c r="X10" s="165"/>
      <c r="Y10" s="165"/>
      <c r="Z10" s="166"/>
      <c r="AC10" s="150"/>
      <c r="AD10" s="150"/>
      <c r="AE10" s="150"/>
      <c r="AF10" s="150"/>
      <c r="AG10" s="150"/>
      <c r="AH10" s="160" t="s">
        <v>142</v>
      </c>
      <c r="AI10" s="161"/>
      <c r="AJ10" s="162" t="s">
        <v>143</v>
      </c>
      <c r="AK10" s="161"/>
      <c r="AL10" s="160" t="s">
        <v>144</v>
      </c>
      <c r="AM10" s="161"/>
      <c r="AN10" s="161" t="s">
        <v>145</v>
      </c>
      <c r="AO10" s="160" t="s">
        <v>146</v>
      </c>
      <c r="AP10" s="161" t="s">
        <v>145</v>
      </c>
      <c r="AQ10" s="161"/>
      <c r="AR10" s="27"/>
      <c r="AS10" s="150"/>
      <c r="AT10" s="150"/>
      <c r="AU10" s="150"/>
      <c r="AV10" s="150"/>
      <c r="AW10" s="150"/>
      <c r="AX10" s="167"/>
      <c r="AY10" s="167"/>
      <c r="AZ10" s="166"/>
      <c r="BC10" s="150"/>
      <c r="BD10" s="150"/>
      <c r="BE10" s="150"/>
      <c r="BF10" s="150"/>
      <c r="BG10" s="150"/>
      <c r="BH10" s="160" t="s">
        <v>142</v>
      </c>
      <c r="BI10" s="161"/>
      <c r="BJ10" s="162" t="s">
        <v>143</v>
      </c>
      <c r="BK10" s="161"/>
      <c r="BL10" s="160" t="s">
        <v>144</v>
      </c>
      <c r="BM10" s="161"/>
      <c r="BN10" s="161" t="s">
        <v>145</v>
      </c>
      <c r="BO10" s="160" t="s">
        <v>146</v>
      </c>
      <c r="BP10" s="161" t="s">
        <v>145</v>
      </c>
      <c r="BQ10" s="161"/>
      <c r="BR10" s="163"/>
    </row>
    <row r="11" spans="1:70" x14ac:dyDescent="0.3">
      <c r="C11" s="150"/>
      <c r="D11" s="150"/>
      <c r="E11" s="150"/>
      <c r="F11" s="150"/>
      <c r="G11" s="150"/>
      <c r="H11" s="161" t="s">
        <v>147</v>
      </c>
      <c r="I11" s="161"/>
      <c r="J11" s="162" t="s">
        <v>148</v>
      </c>
      <c r="K11" s="161"/>
      <c r="L11" s="161" t="s">
        <v>149</v>
      </c>
      <c r="M11" s="161"/>
      <c r="N11" s="161" t="s">
        <v>150</v>
      </c>
      <c r="O11" s="160" t="s">
        <v>146</v>
      </c>
      <c r="P11" s="161" t="s">
        <v>151</v>
      </c>
      <c r="Q11" s="161"/>
      <c r="R11" s="168"/>
      <c r="S11" s="168"/>
      <c r="T11" s="168"/>
      <c r="U11" s="168"/>
      <c r="V11" s="168"/>
      <c r="W11" s="168"/>
      <c r="X11" s="168"/>
      <c r="Y11" s="168"/>
      <c r="Z11" s="169"/>
      <c r="AC11" s="150"/>
      <c r="AD11" s="150"/>
      <c r="AE11" s="150"/>
      <c r="AF11" s="150"/>
      <c r="AG11" s="150"/>
      <c r="AH11" s="161" t="s">
        <v>147</v>
      </c>
      <c r="AI11" s="161"/>
      <c r="AJ11" s="162" t="s">
        <v>148</v>
      </c>
      <c r="AK11" s="161"/>
      <c r="AL11" s="161" t="s">
        <v>149</v>
      </c>
      <c r="AM11" s="161"/>
      <c r="AN11" s="161" t="s">
        <v>150</v>
      </c>
      <c r="AO11" s="160" t="s">
        <v>146</v>
      </c>
      <c r="AP11" s="161" t="s">
        <v>151</v>
      </c>
      <c r="AQ11" s="161"/>
      <c r="AR11" s="27"/>
      <c r="AX11" s="167"/>
      <c r="AY11" s="167"/>
      <c r="AZ11" s="169"/>
      <c r="BC11" s="150"/>
      <c r="BD11" s="150"/>
      <c r="BE11" s="150"/>
      <c r="BF11" s="150"/>
      <c r="BG11" s="150"/>
      <c r="BH11" s="161" t="s">
        <v>147</v>
      </c>
      <c r="BI11" s="161"/>
      <c r="BJ11" s="162" t="s">
        <v>148</v>
      </c>
      <c r="BK11" s="161"/>
      <c r="BL11" s="161" t="s">
        <v>149</v>
      </c>
      <c r="BM11" s="161"/>
      <c r="BN11" s="161" t="s">
        <v>150</v>
      </c>
      <c r="BO11" s="160" t="s">
        <v>146</v>
      </c>
      <c r="BP11" s="161" t="s">
        <v>151</v>
      </c>
      <c r="BQ11" s="161"/>
      <c r="BR11" s="168"/>
    </row>
    <row r="12" spans="1:70" x14ac:dyDescent="0.3">
      <c r="C12" s="150"/>
      <c r="D12" s="150"/>
      <c r="E12" s="150"/>
      <c r="F12" s="150"/>
      <c r="G12" s="150"/>
      <c r="H12" s="161" t="s">
        <v>152</v>
      </c>
      <c r="I12" s="161"/>
      <c r="J12" s="162" t="s">
        <v>153</v>
      </c>
      <c r="K12" s="161"/>
      <c r="L12" s="161" t="s">
        <v>154</v>
      </c>
      <c r="M12" s="161"/>
      <c r="N12" s="161" t="s">
        <v>155</v>
      </c>
      <c r="O12" s="160"/>
      <c r="P12" s="161" t="s">
        <v>155</v>
      </c>
      <c r="Q12" s="161"/>
      <c r="R12" s="150"/>
      <c r="S12" s="150"/>
      <c r="T12" s="167"/>
      <c r="U12" s="167"/>
      <c r="V12" s="167"/>
      <c r="W12" s="167"/>
      <c r="X12" s="167"/>
      <c r="Y12" s="167"/>
      <c r="Z12" s="170"/>
      <c r="AC12" s="150"/>
      <c r="AD12" s="150"/>
      <c r="AE12" s="150"/>
      <c r="AF12" s="150"/>
      <c r="AG12" s="150"/>
      <c r="AH12" s="161" t="s">
        <v>152</v>
      </c>
      <c r="AI12" s="161"/>
      <c r="AJ12" s="162" t="s">
        <v>153</v>
      </c>
      <c r="AK12" s="161"/>
      <c r="AL12" s="161" t="s">
        <v>154</v>
      </c>
      <c r="AM12" s="161"/>
      <c r="AN12" s="161" t="s">
        <v>155</v>
      </c>
      <c r="AO12" s="160"/>
      <c r="AP12" s="161" t="s">
        <v>155</v>
      </c>
      <c r="AQ12" s="161"/>
      <c r="AR12" s="27"/>
      <c r="AS12" s="150"/>
      <c r="AT12" s="150"/>
      <c r="AU12" s="150"/>
      <c r="AV12" s="150"/>
      <c r="AW12" s="150"/>
      <c r="AZ12" s="170"/>
      <c r="BC12" s="150"/>
      <c r="BD12" s="150"/>
      <c r="BE12" s="150"/>
      <c r="BF12" s="150"/>
      <c r="BG12" s="150"/>
      <c r="BH12" s="161" t="s">
        <v>152</v>
      </c>
      <c r="BI12" s="161"/>
      <c r="BJ12" s="162" t="s">
        <v>153</v>
      </c>
      <c r="BK12" s="161"/>
      <c r="BL12" s="161" t="s">
        <v>154</v>
      </c>
      <c r="BM12" s="161"/>
      <c r="BN12" s="161" t="s">
        <v>155</v>
      </c>
      <c r="BO12" s="160"/>
      <c r="BP12" s="161" t="s">
        <v>155</v>
      </c>
      <c r="BQ12" s="161"/>
      <c r="BR12" s="150"/>
    </row>
    <row r="13" spans="1:70" x14ac:dyDescent="0.3">
      <c r="A13" s="171" t="s">
        <v>16</v>
      </c>
      <c r="B13" s="172"/>
      <c r="C13" s="172"/>
      <c r="D13" s="173" t="s">
        <v>156</v>
      </c>
      <c r="E13" s="174"/>
      <c r="F13" s="174"/>
      <c r="G13" s="174"/>
      <c r="H13" s="175" t="s">
        <v>157</v>
      </c>
      <c r="I13" s="175"/>
      <c r="J13" s="176" t="s">
        <v>158</v>
      </c>
      <c r="K13" s="175"/>
      <c r="L13" s="175" t="s">
        <v>159</v>
      </c>
      <c r="M13" s="175"/>
      <c r="N13" s="175" t="s">
        <v>160</v>
      </c>
      <c r="O13" s="177"/>
      <c r="P13" s="175" t="s">
        <v>160</v>
      </c>
      <c r="Q13" s="161"/>
      <c r="R13" s="150"/>
      <c r="S13" s="150"/>
      <c r="T13" s="167"/>
      <c r="U13" s="161"/>
      <c r="V13" s="167"/>
      <c r="W13" s="161"/>
      <c r="X13" s="167"/>
      <c r="Y13" s="161"/>
      <c r="Z13" s="170"/>
      <c r="AA13" s="171" t="s">
        <v>16</v>
      </c>
      <c r="AB13" s="172"/>
      <c r="AC13" s="172"/>
      <c r="AD13" s="173" t="s">
        <v>156</v>
      </c>
      <c r="AE13" s="174"/>
      <c r="AF13" s="174"/>
      <c r="AG13" s="174"/>
      <c r="AH13" s="175" t="s">
        <v>157</v>
      </c>
      <c r="AI13" s="175"/>
      <c r="AJ13" s="176" t="s">
        <v>158</v>
      </c>
      <c r="AK13" s="175"/>
      <c r="AL13" s="175" t="s">
        <v>159</v>
      </c>
      <c r="AM13" s="175"/>
      <c r="AN13" s="175" t="s">
        <v>160</v>
      </c>
      <c r="AO13" s="177"/>
      <c r="AP13" s="175" t="s">
        <v>160</v>
      </c>
      <c r="AQ13" s="161"/>
      <c r="AR13" s="27"/>
      <c r="AX13" s="167"/>
      <c r="AY13" s="167"/>
      <c r="AZ13" s="170"/>
      <c r="BA13" s="171" t="s">
        <v>16</v>
      </c>
      <c r="BB13" s="172"/>
      <c r="BC13" s="172"/>
      <c r="BD13" s="173" t="s">
        <v>156</v>
      </c>
      <c r="BE13" s="174"/>
      <c r="BF13" s="174"/>
      <c r="BG13" s="174"/>
      <c r="BH13" s="175" t="s">
        <v>157</v>
      </c>
      <c r="BI13" s="175"/>
      <c r="BJ13" s="176" t="s">
        <v>158</v>
      </c>
      <c r="BK13" s="175"/>
      <c r="BL13" s="175" t="s">
        <v>159</v>
      </c>
      <c r="BM13" s="175"/>
      <c r="BN13" s="175" t="s">
        <v>160</v>
      </c>
      <c r="BO13" s="177"/>
      <c r="BP13" s="175" t="s">
        <v>160</v>
      </c>
      <c r="BQ13" s="161"/>
      <c r="BR13" s="150"/>
    </row>
    <row r="14" spans="1:70" x14ac:dyDescent="0.3">
      <c r="A14" s="159">
        <v>1</v>
      </c>
      <c r="B14" s="178"/>
      <c r="C14" s="150" t="s">
        <v>161</v>
      </c>
      <c r="D14" s="150" t="s">
        <v>162</v>
      </c>
      <c r="E14" s="150"/>
      <c r="F14" s="150"/>
      <c r="G14" s="150"/>
      <c r="H14" s="179">
        <f>+'[7]5-E10 Jur Energy Sales'!$K$12</f>
        <v>20982468.502792321</v>
      </c>
      <c r="I14" s="150"/>
      <c r="J14" s="180">
        <v>1</v>
      </c>
      <c r="K14" s="150"/>
      <c r="L14" s="179">
        <f>H14*J14</f>
        <v>20982468.502792321</v>
      </c>
      <c r="M14" s="150"/>
      <c r="N14" s="179">
        <f>L14</f>
        <v>20982468.502792321</v>
      </c>
      <c r="P14" s="179">
        <f>N14</f>
        <v>20982468.502792321</v>
      </c>
      <c r="Q14" s="179"/>
      <c r="S14" s="150"/>
      <c r="T14" s="167"/>
      <c r="U14" s="161"/>
      <c r="V14" s="167"/>
      <c r="W14" s="161"/>
      <c r="X14" s="167"/>
      <c r="Y14" s="161"/>
      <c r="Z14" s="170"/>
      <c r="AA14" s="159">
        <v>1</v>
      </c>
      <c r="AB14" s="178"/>
      <c r="AC14" s="150" t="s">
        <v>161</v>
      </c>
      <c r="AD14" s="150" t="s">
        <v>162</v>
      </c>
      <c r="AE14" s="150"/>
      <c r="AF14" s="150"/>
      <c r="AG14" s="150"/>
      <c r="AH14" s="179">
        <f>+'[7]4-E10 Jur Energy Sales'!$K$12</f>
        <v>21036571.744844668</v>
      </c>
      <c r="AI14" s="150"/>
      <c r="AJ14" s="180">
        <f>+J14</f>
        <v>1</v>
      </c>
      <c r="AK14" s="150"/>
      <c r="AL14" s="179">
        <f>AH14*AJ14</f>
        <v>21036571.744844668</v>
      </c>
      <c r="AM14" s="150"/>
      <c r="AN14" s="179">
        <f>AL14</f>
        <v>21036571.744844668</v>
      </c>
      <c r="AP14" s="179">
        <f>AN14</f>
        <v>21036571.744844668</v>
      </c>
      <c r="AQ14" s="179"/>
      <c r="AR14" s="27"/>
      <c r="AX14" s="167"/>
      <c r="AY14" s="167"/>
      <c r="AZ14" s="170"/>
      <c r="BA14" s="159">
        <v>1</v>
      </c>
      <c r="BB14" s="178"/>
      <c r="BC14" s="150" t="s">
        <v>161</v>
      </c>
      <c r="BD14" s="150" t="s">
        <v>162</v>
      </c>
      <c r="BE14" s="150"/>
      <c r="BF14" s="150"/>
      <c r="BG14" s="150"/>
      <c r="BH14" s="179">
        <f>+'[7]3-E10 Jur Energy Sales'!$K$12</f>
        <v>21024272.36356286</v>
      </c>
      <c r="BI14" s="150"/>
      <c r="BJ14" s="180">
        <f>+AJ14</f>
        <v>1</v>
      </c>
      <c r="BK14" s="150"/>
      <c r="BL14" s="179">
        <f>BH14*BJ14</f>
        <v>21024272.36356286</v>
      </c>
      <c r="BM14" s="150"/>
      <c r="BN14" s="179">
        <f>BL14</f>
        <v>21024272.36356286</v>
      </c>
      <c r="BP14" s="179">
        <f>BN14</f>
        <v>21024272.36356286</v>
      </c>
      <c r="BQ14" s="179"/>
    </row>
    <row r="15" spans="1:70" x14ac:dyDescent="0.3">
      <c r="A15" s="159">
        <f>+A14+1</f>
        <v>2</v>
      </c>
      <c r="B15" s="178"/>
      <c r="C15" s="150" t="s">
        <v>163</v>
      </c>
      <c r="D15" s="150" t="s">
        <v>164</v>
      </c>
      <c r="E15" s="150"/>
      <c r="F15" s="150"/>
      <c r="G15" s="150"/>
      <c r="H15" s="179"/>
      <c r="I15" s="150"/>
      <c r="J15" s="181"/>
      <c r="K15" s="150"/>
      <c r="L15" s="179"/>
      <c r="M15" s="150"/>
      <c r="N15" s="179"/>
      <c r="P15" s="179"/>
      <c r="Q15" s="179"/>
      <c r="R15" s="150"/>
      <c r="S15" s="150"/>
      <c r="T15" s="167"/>
      <c r="U15" s="161"/>
      <c r="V15" s="167"/>
      <c r="W15" s="161"/>
      <c r="X15" s="167"/>
      <c r="Y15" s="161"/>
      <c r="Z15" s="170"/>
      <c r="AA15" s="159">
        <f t="shared" ref="AA15:AA38" si="0">+AA14+1</f>
        <v>2</v>
      </c>
      <c r="AB15" s="178"/>
      <c r="AC15" s="150" t="s">
        <v>163</v>
      </c>
      <c r="AD15" s="150" t="s">
        <v>164</v>
      </c>
      <c r="AE15" s="150"/>
      <c r="AF15" s="150"/>
      <c r="AG15" s="150"/>
      <c r="AH15" s="179"/>
      <c r="AI15" s="150"/>
      <c r="AJ15" s="181"/>
      <c r="AK15" s="150"/>
      <c r="AL15" s="179"/>
      <c r="AM15" s="150"/>
      <c r="AN15" s="179"/>
      <c r="AP15" s="179"/>
      <c r="AQ15" s="179"/>
      <c r="AR15" s="27"/>
      <c r="AZ15" s="170"/>
      <c r="BA15" s="159">
        <f t="shared" ref="BA15:BA38" si="1">+BA14+1</f>
        <v>2</v>
      </c>
      <c r="BB15" s="178"/>
      <c r="BC15" s="150" t="s">
        <v>163</v>
      </c>
      <c r="BD15" s="150" t="s">
        <v>164</v>
      </c>
      <c r="BE15" s="150"/>
      <c r="BF15" s="150"/>
      <c r="BG15" s="150"/>
      <c r="BH15" s="179"/>
      <c r="BI15" s="150"/>
      <c r="BJ15" s="181"/>
      <c r="BK15" s="150"/>
      <c r="BL15" s="179"/>
      <c r="BM15" s="150"/>
      <c r="BN15" s="179"/>
      <c r="BP15" s="179"/>
      <c r="BQ15" s="179"/>
      <c r="BR15" s="150"/>
    </row>
    <row r="16" spans="1:70" x14ac:dyDescent="0.3">
      <c r="A16" s="159">
        <f t="shared" ref="A16:A66" si="2">+A15+1</f>
        <v>3</v>
      </c>
      <c r="B16" s="178"/>
      <c r="C16" s="150"/>
      <c r="D16" s="182">
        <v>1</v>
      </c>
      <c r="E16" s="150" t="s">
        <v>64</v>
      </c>
      <c r="F16" s="150"/>
      <c r="G16" s="150"/>
      <c r="H16" s="179">
        <f>+'[7]5-E10 Jur Energy Sales'!$K$14</f>
        <v>3226.9837799964635</v>
      </c>
      <c r="I16" s="150"/>
      <c r="J16" s="180">
        <f>+J14-0.02</f>
        <v>0.98</v>
      </c>
      <c r="K16" s="150"/>
      <c r="L16" s="179">
        <f>H16*J16</f>
        <v>3162.4441043965339</v>
      </c>
      <c r="M16" s="150"/>
      <c r="N16" s="183">
        <v>0</v>
      </c>
      <c r="P16" s="183">
        <v>0</v>
      </c>
      <c r="Q16" s="183"/>
      <c r="R16" s="184"/>
      <c r="S16" s="150"/>
      <c r="T16" s="167"/>
      <c r="U16" s="167"/>
      <c r="V16" s="167"/>
      <c r="W16" s="167"/>
      <c r="X16" s="167"/>
      <c r="Y16" s="167"/>
      <c r="Z16" s="170"/>
      <c r="AA16" s="159">
        <f t="shared" si="0"/>
        <v>3</v>
      </c>
      <c r="AB16" s="178"/>
      <c r="AC16" s="150"/>
      <c r="AD16" s="182">
        <v>1</v>
      </c>
      <c r="AE16" s="150" t="s">
        <v>64</v>
      </c>
      <c r="AF16" s="150"/>
      <c r="AG16" s="150"/>
      <c r="AH16" s="179">
        <f>+'[7]4-E10 Jur Energy Sales'!$K$14</f>
        <v>3208.1451394845749</v>
      </c>
      <c r="AI16" s="150"/>
      <c r="AJ16" s="180">
        <f t="shared" ref="AJ16:AJ19" si="3">+J16</f>
        <v>0.98</v>
      </c>
      <c r="AK16" s="150"/>
      <c r="AL16" s="179">
        <f>AH16*AJ16</f>
        <v>3143.9822366948833</v>
      </c>
      <c r="AM16" s="150"/>
      <c r="AN16" s="183">
        <v>0</v>
      </c>
      <c r="AP16" s="183">
        <v>0</v>
      </c>
      <c r="AQ16" s="183"/>
      <c r="AR16" s="27"/>
      <c r="AS16" s="150"/>
      <c r="AT16" s="150"/>
      <c r="AU16" s="150"/>
      <c r="AV16" s="150"/>
      <c r="AW16" s="150"/>
      <c r="AZ16" s="170"/>
      <c r="BA16" s="159">
        <f t="shared" si="1"/>
        <v>3</v>
      </c>
      <c r="BB16" s="178"/>
      <c r="BC16" s="150"/>
      <c r="BD16" s="182">
        <v>1</v>
      </c>
      <c r="BE16" s="150" t="s">
        <v>64</v>
      </c>
      <c r="BF16" s="150"/>
      <c r="BG16" s="150"/>
      <c r="BH16" s="179">
        <f>+'[7]3-E10 Jur Energy Sales'!$K$14</f>
        <v>3194.5786060781193</v>
      </c>
      <c r="BI16" s="150"/>
      <c r="BJ16" s="180">
        <f t="shared" ref="BJ16:BJ19" si="4">+AJ16</f>
        <v>0.98</v>
      </c>
      <c r="BK16" s="150"/>
      <c r="BL16" s="179">
        <f>BH16*BJ16</f>
        <v>3130.6870339565567</v>
      </c>
      <c r="BM16" s="150"/>
      <c r="BN16" s="183">
        <v>0</v>
      </c>
      <c r="BP16" s="183">
        <v>0</v>
      </c>
      <c r="BQ16" s="183"/>
      <c r="BR16" s="184"/>
    </row>
    <row r="17" spans="1:70" x14ac:dyDescent="0.3">
      <c r="A17" s="159">
        <f t="shared" si="2"/>
        <v>4</v>
      </c>
      <c r="B17" s="178"/>
      <c r="C17" s="150"/>
      <c r="D17" s="182">
        <v>2</v>
      </c>
      <c r="E17" s="150" t="s">
        <v>165</v>
      </c>
      <c r="F17" s="150"/>
      <c r="G17" s="150"/>
      <c r="H17" s="179">
        <f>+'[7]5-E10 Jur Energy Sales'!$K$15</f>
        <v>27367.093243529031</v>
      </c>
      <c r="I17" s="150"/>
      <c r="J17" s="180">
        <f>+J14-0.01</f>
        <v>0.99</v>
      </c>
      <c r="K17" s="150"/>
      <c r="L17" s="179">
        <f>H17*J17</f>
        <v>27093.422311093738</v>
      </c>
      <c r="M17" s="150"/>
      <c r="N17" s="179">
        <f>L17</f>
        <v>27093.422311093738</v>
      </c>
      <c r="P17" s="185">
        <v>0</v>
      </c>
      <c r="Q17" s="185"/>
      <c r="R17" s="186"/>
      <c r="S17" s="149"/>
      <c r="T17" s="167"/>
      <c r="U17" s="161"/>
      <c r="V17" s="167"/>
      <c r="W17" s="161"/>
      <c r="X17" s="167"/>
      <c r="Y17" s="161"/>
      <c r="Z17" s="170"/>
      <c r="AA17" s="159">
        <f t="shared" si="0"/>
        <v>4</v>
      </c>
      <c r="AB17" s="178"/>
      <c r="AC17" s="150"/>
      <c r="AD17" s="182">
        <v>2</v>
      </c>
      <c r="AE17" s="150" t="s">
        <v>165</v>
      </c>
      <c r="AF17" s="150"/>
      <c r="AG17" s="150"/>
      <c r="AH17" s="179">
        <f>+'[7]4-E10 Jur Energy Sales'!$K$15</f>
        <v>27202.208275670997</v>
      </c>
      <c r="AI17" s="150"/>
      <c r="AJ17" s="180">
        <f t="shared" si="3"/>
        <v>0.99</v>
      </c>
      <c r="AK17" s="150"/>
      <c r="AL17" s="179">
        <f>AH17*AJ17</f>
        <v>26930.186192914287</v>
      </c>
      <c r="AM17" s="150"/>
      <c r="AN17" s="179">
        <f>AL17</f>
        <v>26930.186192914287</v>
      </c>
      <c r="AP17" s="185">
        <v>0</v>
      </c>
      <c r="AQ17" s="185"/>
      <c r="AR17" s="27"/>
      <c r="AZ17" s="170"/>
      <c r="BA17" s="159">
        <f t="shared" si="1"/>
        <v>4</v>
      </c>
      <c r="BB17" s="178"/>
      <c r="BC17" s="150"/>
      <c r="BD17" s="182">
        <v>2</v>
      </c>
      <c r="BE17" s="150" t="s">
        <v>165</v>
      </c>
      <c r="BF17" s="150"/>
      <c r="BG17" s="150"/>
      <c r="BH17" s="179">
        <f>+'[7]3-E10 Jur Energy Sales'!$K$15</f>
        <v>27020.221546982211</v>
      </c>
      <c r="BI17" s="150"/>
      <c r="BJ17" s="180">
        <f t="shared" si="4"/>
        <v>0.99</v>
      </c>
      <c r="BK17" s="150"/>
      <c r="BL17" s="179">
        <f>BH17*BJ17</f>
        <v>26750.019331512391</v>
      </c>
      <c r="BM17" s="150"/>
      <c r="BN17" s="179">
        <f>BL17</f>
        <v>26750.019331512391</v>
      </c>
      <c r="BP17" s="185">
        <v>0</v>
      </c>
      <c r="BQ17" s="185"/>
      <c r="BR17" s="186"/>
    </row>
    <row r="18" spans="1:70" x14ac:dyDescent="0.3">
      <c r="A18" s="159">
        <f t="shared" si="2"/>
        <v>5</v>
      </c>
      <c r="B18" s="178"/>
      <c r="C18" s="150"/>
      <c r="D18" s="182">
        <v>3</v>
      </c>
      <c r="E18" s="150" t="s">
        <v>166</v>
      </c>
      <c r="F18" s="150"/>
      <c r="G18" s="150"/>
      <c r="H18" s="179">
        <f>+'[7]5-E10 Jur Energy Sales'!$K$16</f>
        <v>0</v>
      </c>
      <c r="I18" s="150"/>
      <c r="J18" s="187">
        <f>J17</f>
        <v>0.99</v>
      </c>
      <c r="K18" s="150"/>
      <c r="L18" s="179">
        <f>H18*J18</f>
        <v>0</v>
      </c>
      <c r="M18" s="150"/>
      <c r="N18" s="179">
        <f>L18</f>
        <v>0</v>
      </c>
      <c r="P18" s="179">
        <f>N18</f>
        <v>0</v>
      </c>
      <c r="Q18" s="179"/>
      <c r="R18" s="188"/>
      <c r="S18" s="179"/>
      <c r="T18" s="167"/>
      <c r="U18" s="167"/>
      <c r="V18" s="167"/>
      <c r="W18" s="167"/>
      <c r="X18" s="167"/>
      <c r="Y18" s="167"/>
      <c r="Z18" s="170"/>
      <c r="AA18" s="159">
        <f t="shared" si="0"/>
        <v>5</v>
      </c>
      <c r="AB18" s="178"/>
      <c r="AC18" s="150"/>
      <c r="AD18" s="182">
        <v>3</v>
      </c>
      <c r="AE18" s="150" t="s">
        <v>166</v>
      </c>
      <c r="AF18" s="150"/>
      <c r="AG18" s="150"/>
      <c r="AH18" s="179">
        <f>+'[7]4-E10 Jur Energy Sales'!$K$16</f>
        <v>0</v>
      </c>
      <c r="AI18" s="150"/>
      <c r="AJ18" s="180">
        <f t="shared" si="3"/>
        <v>0.99</v>
      </c>
      <c r="AK18" s="150"/>
      <c r="AL18" s="179">
        <f>AH18*AJ18</f>
        <v>0</v>
      </c>
      <c r="AM18" s="150"/>
      <c r="AN18" s="179">
        <f>AL18</f>
        <v>0</v>
      </c>
      <c r="AP18" s="179">
        <f>AN18</f>
        <v>0</v>
      </c>
      <c r="AQ18" s="179"/>
      <c r="AR18" s="188"/>
      <c r="AS18" s="150"/>
      <c r="AT18" s="150"/>
      <c r="AU18" s="150"/>
      <c r="AV18" s="150"/>
      <c r="AW18" s="150"/>
      <c r="AZ18" s="170"/>
      <c r="BA18" s="159">
        <f t="shared" si="1"/>
        <v>5</v>
      </c>
      <c r="BB18" s="178"/>
      <c r="BC18" s="150"/>
      <c r="BD18" s="182">
        <v>3</v>
      </c>
      <c r="BE18" s="150" t="s">
        <v>166</v>
      </c>
      <c r="BF18" s="150"/>
      <c r="BG18" s="150"/>
      <c r="BH18" s="179">
        <f>+'[7]3-E10 Jur Energy Sales'!$K$16</f>
        <v>0</v>
      </c>
      <c r="BI18" s="150"/>
      <c r="BJ18" s="180">
        <f t="shared" si="4"/>
        <v>0.99</v>
      </c>
      <c r="BK18" s="150"/>
      <c r="BL18" s="179">
        <f>BH18*BJ18</f>
        <v>0</v>
      </c>
      <c r="BM18" s="150"/>
      <c r="BN18" s="179">
        <f>BL18</f>
        <v>0</v>
      </c>
      <c r="BP18" s="179">
        <f>BN18</f>
        <v>0</v>
      </c>
      <c r="BQ18" s="179"/>
      <c r="BR18" s="188"/>
    </row>
    <row r="19" spans="1:70" x14ac:dyDescent="0.3">
      <c r="A19" s="159">
        <f t="shared" si="2"/>
        <v>6</v>
      </c>
      <c r="B19" s="178"/>
      <c r="C19" s="150"/>
      <c r="D19" s="182">
        <v>4</v>
      </c>
      <c r="E19" s="150" t="s">
        <v>167</v>
      </c>
      <c r="F19" s="150"/>
      <c r="G19" s="150"/>
      <c r="H19" s="179">
        <f>+'[7]5-E10 Jur Energy Sales'!$K$17</f>
        <v>2188799.4074149076</v>
      </c>
      <c r="I19" s="150"/>
      <c r="J19" s="187">
        <f>J14</f>
        <v>1</v>
      </c>
      <c r="K19" s="150"/>
      <c r="L19" s="179">
        <f>H19*J19</f>
        <v>2188799.4074149076</v>
      </c>
      <c r="M19" s="150"/>
      <c r="N19" s="179">
        <f>L19</f>
        <v>2188799.4074149076</v>
      </c>
      <c r="P19" s="179">
        <f>N19</f>
        <v>2188799.4074149076</v>
      </c>
      <c r="Q19" s="179"/>
      <c r="R19" s="150"/>
      <c r="S19" s="189"/>
      <c r="T19" s="167"/>
      <c r="U19" s="161"/>
      <c r="V19" s="167"/>
      <c r="W19" s="161"/>
      <c r="X19" s="167"/>
      <c r="Y19" s="161"/>
      <c r="Z19" s="170"/>
      <c r="AA19" s="159">
        <f t="shared" si="0"/>
        <v>6</v>
      </c>
      <c r="AB19" s="178"/>
      <c r="AC19" s="150"/>
      <c r="AD19" s="182">
        <v>4</v>
      </c>
      <c r="AE19" s="150" t="s">
        <v>167</v>
      </c>
      <c r="AF19" s="150"/>
      <c r="AG19" s="150"/>
      <c r="AH19" s="179">
        <f>+'[7]4-E10 Jur Energy Sales'!$K$17</f>
        <v>2177907.2984351711</v>
      </c>
      <c r="AI19" s="150"/>
      <c r="AJ19" s="180">
        <f t="shared" si="3"/>
        <v>1</v>
      </c>
      <c r="AK19" s="150"/>
      <c r="AL19" s="179">
        <f>AH19*AJ19</f>
        <v>2177907.2984351711</v>
      </c>
      <c r="AM19" s="150"/>
      <c r="AN19" s="179">
        <f>AL19</f>
        <v>2177907.2984351711</v>
      </c>
      <c r="AP19" s="179">
        <f>AN19</f>
        <v>2177907.2984351711</v>
      </c>
      <c r="AQ19" s="179"/>
      <c r="AR19" s="150"/>
      <c r="AZ19" s="170"/>
      <c r="BA19" s="159">
        <f t="shared" si="1"/>
        <v>6</v>
      </c>
      <c r="BB19" s="178"/>
      <c r="BC19" s="150"/>
      <c r="BD19" s="182">
        <v>4</v>
      </c>
      <c r="BE19" s="150" t="s">
        <v>167</v>
      </c>
      <c r="BF19" s="150"/>
      <c r="BG19" s="150"/>
      <c r="BH19" s="179">
        <f>+'[7]3-E10 Jur Energy Sales'!$K$17</f>
        <v>2168306.28498084</v>
      </c>
      <c r="BI19" s="150"/>
      <c r="BJ19" s="180">
        <f t="shared" si="4"/>
        <v>1</v>
      </c>
      <c r="BK19" s="150"/>
      <c r="BL19" s="179">
        <f>BH19*BJ19</f>
        <v>2168306.28498084</v>
      </c>
      <c r="BM19" s="150"/>
      <c r="BN19" s="179">
        <f>BL19</f>
        <v>2168306.28498084</v>
      </c>
      <c r="BP19" s="179">
        <f>BN19</f>
        <v>2168306.28498084</v>
      </c>
      <c r="BQ19" s="179"/>
      <c r="BR19" s="150"/>
    </row>
    <row r="20" spans="1:70" x14ac:dyDescent="0.25">
      <c r="A20" s="159">
        <f>+A19+1</f>
        <v>7</v>
      </c>
      <c r="B20" s="178"/>
      <c r="C20" s="150"/>
      <c r="D20" s="150" t="s">
        <v>168</v>
      </c>
      <c r="E20" s="150"/>
      <c r="F20" s="150"/>
      <c r="G20" s="150"/>
      <c r="H20" s="190">
        <f>SUM(H16:H19)</f>
        <v>2219393.4844384333</v>
      </c>
      <c r="I20" s="150"/>
      <c r="J20" s="187"/>
      <c r="K20" s="150"/>
      <c r="L20" s="190">
        <f>SUM(L16:L19)</f>
        <v>2219055.273830398</v>
      </c>
      <c r="M20" s="150"/>
      <c r="N20" s="190">
        <f>SUM(N16:N19)</f>
        <v>2215892.8297260012</v>
      </c>
      <c r="P20" s="190">
        <f>SUM(P16:P19)</f>
        <v>2188799.4074149076</v>
      </c>
      <c r="Q20" s="179"/>
      <c r="R20" s="188"/>
      <c r="S20" s="150"/>
      <c r="T20" s="167"/>
      <c r="U20" s="161"/>
      <c r="V20" s="167"/>
      <c r="W20" s="161"/>
      <c r="X20" s="167"/>
      <c r="Y20" s="161"/>
      <c r="Z20" s="170"/>
      <c r="AA20" s="159">
        <f>+AA19+1</f>
        <v>7</v>
      </c>
      <c r="AB20" s="178"/>
      <c r="AC20" s="150"/>
      <c r="AD20" s="150" t="s">
        <v>168</v>
      </c>
      <c r="AE20" s="150"/>
      <c r="AF20" s="150"/>
      <c r="AG20" s="150"/>
      <c r="AH20" s="190">
        <f>SUM(AH16:AH19)</f>
        <v>2208317.6518503269</v>
      </c>
      <c r="AI20" s="150"/>
      <c r="AJ20" s="187"/>
      <c r="AK20" s="150"/>
      <c r="AL20" s="190">
        <f>SUM(AL16:AL19)</f>
        <v>2207981.4668647805</v>
      </c>
      <c r="AM20" s="150"/>
      <c r="AN20" s="190">
        <f>SUM(AN16:AN19)</f>
        <v>2204837.4846280855</v>
      </c>
      <c r="AP20" s="190">
        <f>SUM(AP16:AP19)</f>
        <v>2177907.2984351711</v>
      </c>
      <c r="AQ20" s="179"/>
      <c r="AR20" s="188"/>
      <c r="AZ20" s="170"/>
      <c r="BA20" s="159">
        <f>+BA19+1</f>
        <v>7</v>
      </c>
      <c r="BB20" s="178"/>
      <c r="BC20" s="150"/>
      <c r="BD20" s="150" t="s">
        <v>168</v>
      </c>
      <c r="BE20" s="150"/>
      <c r="BF20" s="150"/>
      <c r="BG20" s="150"/>
      <c r="BH20" s="190">
        <f>SUM(BH16:BH19)</f>
        <v>2198521.0851339004</v>
      </c>
      <c r="BI20" s="150"/>
      <c r="BJ20" s="187"/>
      <c r="BK20" s="150"/>
      <c r="BL20" s="190">
        <f>SUM(BL16:BL19)</f>
        <v>2198186.991346309</v>
      </c>
      <c r="BM20" s="150"/>
      <c r="BN20" s="190">
        <f>SUM(BN16:BN19)</f>
        <v>2195056.3043123526</v>
      </c>
      <c r="BP20" s="190">
        <f>SUM(BP16:BP19)</f>
        <v>2168306.28498084</v>
      </c>
      <c r="BQ20" s="179"/>
      <c r="BR20" s="188"/>
    </row>
    <row r="21" spans="1:70" x14ac:dyDescent="0.25">
      <c r="A21" s="159">
        <f>+A20+1</f>
        <v>8</v>
      </c>
      <c r="B21" s="178"/>
      <c r="C21" s="150" t="s">
        <v>169</v>
      </c>
      <c r="D21" s="150" t="s">
        <v>170</v>
      </c>
      <c r="E21" s="150"/>
      <c r="F21" s="150"/>
      <c r="G21" s="150"/>
      <c r="H21" s="179">
        <f>+'[7]5-E10 Jur Energy Sales'!$K$19</f>
        <v>209993.41425404578</v>
      </c>
      <c r="I21" s="150"/>
      <c r="J21" s="187">
        <f>J14</f>
        <v>1</v>
      </c>
      <c r="K21" s="150"/>
      <c r="L21" s="179">
        <f>H21*J21</f>
        <v>209993.41425404578</v>
      </c>
      <c r="M21" s="150"/>
      <c r="N21" s="179">
        <f>L21</f>
        <v>209993.41425404578</v>
      </c>
      <c r="P21" s="179">
        <f>N21</f>
        <v>209993.41425404578</v>
      </c>
      <c r="Q21" s="179"/>
      <c r="S21" s="150"/>
      <c r="T21" s="167"/>
      <c r="U21" s="161"/>
      <c r="V21" s="167"/>
      <c r="W21" s="161"/>
      <c r="X21" s="167"/>
      <c r="Y21" s="161"/>
      <c r="Z21" s="170"/>
      <c r="AA21" s="159">
        <f>+AA20+1</f>
        <v>8</v>
      </c>
      <c r="AB21" s="178"/>
      <c r="AC21" s="150" t="s">
        <v>169</v>
      </c>
      <c r="AD21" s="150" t="s">
        <v>170</v>
      </c>
      <c r="AE21" s="150"/>
      <c r="AF21" s="150"/>
      <c r="AG21" s="150"/>
      <c r="AH21" s="179">
        <f>+'[7]4-E10 Jur Energy Sales'!$K$19</f>
        <v>209117.90872189892</v>
      </c>
      <c r="AI21" s="150"/>
      <c r="AJ21" s="180">
        <f>+J21</f>
        <v>1</v>
      </c>
      <c r="AK21" s="150"/>
      <c r="AL21" s="179">
        <f>AH21*AJ21</f>
        <v>209117.90872189892</v>
      </c>
      <c r="AM21" s="150"/>
      <c r="AN21" s="179">
        <f>AL21</f>
        <v>209117.90872189892</v>
      </c>
      <c r="AP21" s="179">
        <f>AN21</f>
        <v>209117.90872189892</v>
      </c>
      <c r="AQ21" s="179"/>
      <c r="AZ21" s="170"/>
      <c r="BA21" s="159">
        <f>+BA20+1</f>
        <v>8</v>
      </c>
      <c r="BB21" s="178"/>
      <c r="BC21" s="150" t="s">
        <v>169</v>
      </c>
      <c r="BD21" s="150" t="s">
        <v>170</v>
      </c>
      <c r="BE21" s="150"/>
      <c r="BF21" s="150"/>
      <c r="BG21" s="150"/>
      <c r="BH21" s="179">
        <f>+'[7]3-E10 Jur Energy Sales'!$K$19</f>
        <v>208497.37725828003</v>
      </c>
      <c r="BI21" s="150"/>
      <c r="BJ21" s="180">
        <f>+AJ21</f>
        <v>1</v>
      </c>
      <c r="BK21" s="150"/>
      <c r="BL21" s="179">
        <f>BH21*BJ21</f>
        <v>208497.37725828003</v>
      </c>
      <c r="BM21" s="150"/>
      <c r="BN21" s="179">
        <f>BL21</f>
        <v>208497.37725828003</v>
      </c>
      <c r="BP21" s="179">
        <f>BN21</f>
        <v>208497.37725828003</v>
      </c>
      <c r="BQ21" s="179"/>
    </row>
    <row r="22" spans="1:70" x14ac:dyDescent="0.25">
      <c r="A22" s="159">
        <f t="shared" si="2"/>
        <v>9</v>
      </c>
      <c r="B22" s="178"/>
      <c r="C22" s="150" t="s">
        <v>171</v>
      </c>
      <c r="D22" s="150" t="s">
        <v>172</v>
      </c>
      <c r="E22" s="150"/>
      <c r="F22" s="150"/>
      <c r="G22" s="150"/>
      <c r="H22" s="179"/>
      <c r="I22" s="150"/>
      <c r="J22" s="187"/>
      <c r="K22" s="150"/>
      <c r="L22" s="179"/>
      <c r="M22" s="150"/>
      <c r="N22" s="179"/>
      <c r="P22" s="179"/>
      <c r="Q22" s="179"/>
      <c r="R22" s="150"/>
      <c r="S22" s="150"/>
      <c r="T22" s="167"/>
      <c r="U22" s="161"/>
      <c r="V22" s="167"/>
      <c r="W22" s="161"/>
      <c r="X22" s="167"/>
      <c r="Y22" s="161"/>
      <c r="Z22" s="170"/>
      <c r="AA22" s="159">
        <f t="shared" si="0"/>
        <v>9</v>
      </c>
      <c r="AB22" s="178"/>
      <c r="AC22" s="150" t="s">
        <v>171</v>
      </c>
      <c r="AD22" s="150" t="s">
        <v>172</v>
      </c>
      <c r="AE22" s="150"/>
      <c r="AF22" s="150"/>
      <c r="AG22" s="150"/>
      <c r="AH22" s="179"/>
      <c r="AI22" s="150"/>
      <c r="AJ22" s="187"/>
      <c r="AK22" s="150"/>
      <c r="AL22" s="179"/>
      <c r="AM22" s="150"/>
      <c r="AN22" s="179"/>
      <c r="AP22" s="179"/>
      <c r="AQ22" s="179"/>
      <c r="AR22" s="150"/>
      <c r="AZ22" s="170"/>
      <c r="BA22" s="159">
        <f t="shared" si="1"/>
        <v>9</v>
      </c>
      <c r="BB22" s="178"/>
      <c r="BC22" s="150" t="s">
        <v>171</v>
      </c>
      <c r="BD22" s="150" t="s">
        <v>172</v>
      </c>
      <c r="BE22" s="150"/>
      <c r="BF22" s="150"/>
      <c r="BG22" s="150"/>
      <c r="BH22" s="179"/>
      <c r="BI22" s="150"/>
      <c r="BJ22" s="187"/>
      <c r="BK22" s="150"/>
      <c r="BL22" s="179"/>
      <c r="BM22" s="150"/>
      <c r="BN22" s="179"/>
      <c r="BP22" s="179"/>
      <c r="BQ22" s="179"/>
      <c r="BR22" s="150"/>
    </row>
    <row r="23" spans="1:70" x14ac:dyDescent="0.3">
      <c r="A23" s="159">
        <f t="shared" si="2"/>
        <v>10</v>
      </c>
      <c r="B23" s="178"/>
      <c r="C23" s="150"/>
      <c r="D23" s="182">
        <v>1</v>
      </c>
      <c r="E23" s="150" t="s">
        <v>64</v>
      </c>
      <c r="F23" s="150"/>
      <c r="G23" s="150"/>
      <c r="H23" s="179">
        <f>+'[7]5-E10 Jur Energy Sales'!$K$21</f>
        <v>489979.77502391348</v>
      </c>
      <c r="I23" s="150"/>
      <c r="J23" s="187">
        <f>J16</f>
        <v>0.98</v>
      </c>
      <c r="K23" s="150"/>
      <c r="L23" s="179">
        <f>H23*J23</f>
        <v>480180.17952343519</v>
      </c>
      <c r="M23" s="150"/>
      <c r="N23" s="179">
        <v>0</v>
      </c>
      <c r="P23" s="179">
        <v>0</v>
      </c>
      <c r="Q23" s="179"/>
      <c r="S23" s="150"/>
      <c r="T23" s="167"/>
      <c r="U23" s="167"/>
      <c r="V23" s="167"/>
      <c r="W23" s="167"/>
      <c r="X23" s="167"/>
      <c r="Y23" s="167"/>
      <c r="Z23" s="170"/>
      <c r="AA23" s="159">
        <f t="shared" si="0"/>
        <v>10</v>
      </c>
      <c r="AB23" s="178"/>
      <c r="AC23" s="150"/>
      <c r="AD23" s="182">
        <v>1</v>
      </c>
      <c r="AE23" s="150" t="s">
        <v>64</v>
      </c>
      <c r="AF23" s="150"/>
      <c r="AG23" s="150"/>
      <c r="AH23" s="179">
        <f>+'[7]4-E10 Jur Energy Sales'!$K$21</f>
        <v>487884.82014897035</v>
      </c>
      <c r="AI23" s="150"/>
      <c r="AJ23" s="180">
        <f t="shared" ref="AJ23:AJ27" si="5">+J23</f>
        <v>0.98</v>
      </c>
      <c r="AK23" s="150"/>
      <c r="AL23" s="179">
        <f>AH23*AJ23</f>
        <v>478127.12374599092</v>
      </c>
      <c r="AM23" s="150"/>
      <c r="AN23" s="179">
        <v>0</v>
      </c>
      <c r="AP23" s="179">
        <v>0</v>
      </c>
      <c r="AQ23" s="179"/>
      <c r="AS23" s="150"/>
      <c r="AT23" s="150"/>
      <c r="AU23" s="150"/>
      <c r="AV23" s="150"/>
      <c r="AW23" s="150"/>
      <c r="AZ23" s="170"/>
      <c r="BA23" s="159">
        <f t="shared" si="1"/>
        <v>10</v>
      </c>
      <c r="BB23" s="178"/>
      <c r="BC23" s="150"/>
      <c r="BD23" s="182">
        <v>1</v>
      </c>
      <c r="BE23" s="150" t="s">
        <v>64</v>
      </c>
      <c r="BF23" s="150"/>
      <c r="BG23" s="150"/>
      <c r="BH23" s="179">
        <f>+'[7]3-E10 Jur Energy Sales'!$K$21</f>
        <v>484241.5124884845</v>
      </c>
      <c r="BI23" s="150"/>
      <c r="BJ23" s="180">
        <f t="shared" ref="BJ23:BJ27" si="6">+AJ23</f>
        <v>0.98</v>
      </c>
      <c r="BK23" s="150"/>
      <c r="BL23" s="179">
        <f>BH23*BJ23</f>
        <v>474556.68223871483</v>
      </c>
      <c r="BM23" s="150"/>
      <c r="BN23" s="179">
        <v>0</v>
      </c>
      <c r="BP23" s="179">
        <v>0</v>
      </c>
      <c r="BQ23" s="179"/>
    </row>
    <row r="24" spans="1:70" x14ac:dyDescent="0.3">
      <c r="A24" s="159">
        <f t="shared" si="2"/>
        <v>11</v>
      </c>
      <c r="B24" s="178"/>
      <c r="C24" s="150"/>
      <c r="D24" s="182">
        <v>2</v>
      </c>
      <c r="E24" s="150" t="s">
        <v>173</v>
      </c>
      <c r="F24" s="150"/>
      <c r="G24" s="150"/>
      <c r="H24" s="179">
        <f>+'[7]5-E10 Jur Energy Sales'!$K$22</f>
        <v>0</v>
      </c>
      <c r="I24" s="150"/>
      <c r="J24" s="187">
        <f>+J17</f>
        <v>0.99</v>
      </c>
      <c r="K24" s="150"/>
      <c r="L24" s="179">
        <f>H24*J24</f>
        <v>0</v>
      </c>
      <c r="M24" s="150"/>
      <c r="N24" s="179">
        <v>0</v>
      </c>
      <c r="P24" s="179">
        <v>0</v>
      </c>
      <c r="Q24" s="179"/>
      <c r="S24" s="150"/>
      <c r="T24" s="167"/>
      <c r="U24" s="161"/>
      <c r="V24" s="167"/>
      <c r="W24" s="161"/>
      <c r="X24" s="167"/>
      <c r="Y24" s="161"/>
      <c r="Z24" s="170"/>
      <c r="AA24" s="159">
        <f t="shared" si="0"/>
        <v>11</v>
      </c>
      <c r="AB24" s="178"/>
      <c r="AC24" s="150"/>
      <c r="AD24" s="182">
        <v>2</v>
      </c>
      <c r="AE24" s="150" t="s">
        <v>173</v>
      </c>
      <c r="AF24" s="150"/>
      <c r="AG24" s="150"/>
      <c r="AH24" s="179">
        <f>+'[7]4-E10 Jur Energy Sales'!$K$22</f>
        <v>0</v>
      </c>
      <c r="AI24" s="150"/>
      <c r="AJ24" s="180">
        <f t="shared" si="5"/>
        <v>0.99</v>
      </c>
      <c r="AK24" s="150"/>
      <c r="AL24" s="179">
        <f>AH24*AJ24</f>
        <v>0</v>
      </c>
      <c r="AM24" s="150"/>
      <c r="AN24" s="179">
        <v>0</v>
      </c>
      <c r="AP24" s="179">
        <v>0</v>
      </c>
      <c r="AQ24" s="179"/>
      <c r="AZ24" s="170"/>
      <c r="BA24" s="159">
        <f t="shared" si="1"/>
        <v>11</v>
      </c>
      <c r="BB24" s="178"/>
      <c r="BC24" s="150"/>
      <c r="BD24" s="182">
        <v>2</v>
      </c>
      <c r="BE24" s="150" t="s">
        <v>173</v>
      </c>
      <c r="BF24" s="150"/>
      <c r="BG24" s="150"/>
      <c r="BH24" s="179">
        <f>+'[7]3-E10 Jur Energy Sales'!$K$22</f>
        <v>0</v>
      </c>
      <c r="BI24" s="150"/>
      <c r="BJ24" s="180">
        <f t="shared" si="6"/>
        <v>0.99</v>
      </c>
      <c r="BK24" s="150"/>
      <c r="BL24" s="179">
        <f>BH24*BJ24</f>
        <v>0</v>
      </c>
      <c r="BM24" s="150"/>
      <c r="BN24" s="179">
        <v>0</v>
      </c>
      <c r="BP24" s="179">
        <v>0</v>
      </c>
      <c r="BQ24" s="179"/>
    </row>
    <row r="25" spans="1:70" x14ac:dyDescent="0.3">
      <c r="A25" s="159">
        <f t="shared" si="2"/>
        <v>12</v>
      </c>
      <c r="B25" s="178"/>
      <c r="C25" s="150"/>
      <c r="D25" s="182">
        <v>3</v>
      </c>
      <c r="E25" s="150" t="s">
        <v>165</v>
      </c>
      <c r="F25" s="150"/>
      <c r="G25" s="150"/>
      <c r="H25" s="179">
        <f>+'[7]5-E10 Jur Energy Sales'!$K$23</f>
        <v>1773552.7969478443</v>
      </c>
      <c r="I25" s="150"/>
      <c r="J25" s="187">
        <f>J17</f>
        <v>0.99</v>
      </c>
      <c r="K25" s="150"/>
      <c r="L25" s="179">
        <f>H25*J25</f>
        <v>1755817.2689783659</v>
      </c>
      <c r="M25" s="150"/>
      <c r="N25" s="179">
        <f>L25</f>
        <v>1755817.2689783659</v>
      </c>
      <c r="P25" s="179">
        <v>0</v>
      </c>
      <c r="Q25" s="179"/>
      <c r="R25" s="150"/>
      <c r="S25" s="150"/>
      <c r="T25" s="167"/>
      <c r="U25" s="167"/>
      <c r="V25" s="167"/>
      <c r="W25" s="167"/>
      <c r="X25" s="167"/>
      <c r="Y25" s="167"/>
      <c r="Z25" s="170"/>
      <c r="AA25" s="159">
        <f t="shared" si="0"/>
        <v>12</v>
      </c>
      <c r="AB25" s="178"/>
      <c r="AC25" s="150"/>
      <c r="AD25" s="182">
        <v>3</v>
      </c>
      <c r="AE25" s="150" t="s">
        <v>165</v>
      </c>
      <c r="AF25" s="150"/>
      <c r="AG25" s="150"/>
      <c r="AH25" s="179">
        <f>+'[7]4-E10 Jur Energy Sales'!$K$23</f>
        <v>1766111.3828616769</v>
      </c>
      <c r="AI25" s="150"/>
      <c r="AJ25" s="180">
        <f t="shared" si="5"/>
        <v>0.99</v>
      </c>
      <c r="AK25" s="150"/>
      <c r="AL25" s="179">
        <f>AH25*AJ25</f>
        <v>1748450.2690330602</v>
      </c>
      <c r="AM25" s="150"/>
      <c r="AN25" s="179">
        <f>AL25</f>
        <v>1748450.2690330602</v>
      </c>
      <c r="AP25" s="179">
        <v>0</v>
      </c>
      <c r="AQ25" s="179"/>
      <c r="AR25" s="150"/>
      <c r="AS25" s="150"/>
      <c r="AT25" s="150"/>
      <c r="AU25" s="150"/>
      <c r="AV25" s="150"/>
      <c r="AW25" s="150"/>
      <c r="AZ25" s="170"/>
      <c r="BA25" s="159">
        <f t="shared" si="1"/>
        <v>12</v>
      </c>
      <c r="BB25" s="178"/>
      <c r="BC25" s="150"/>
      <c r="BD25" s="182">
        <v>3</v>
      </c>
      <c r="BE25" s="150" t="s">
        <v>165</v>
      </c>
      <c r="BF25" s="150"/>
      <c r="BG25" s="150"/>
      <c r="BH25" s="179">
        <f>+'[7]3-E10 Jur Energy Sales'!$K$23</f>
        <v>1756047.2236458808</v>
      </c>
      <c r="BI25" s="150"/>
      <c r="BJ25" s="180">
        <f t="shared" si="6"/>
        <v>0.99</v>
      </c>
      <c r="BK25" s="150"/>
      <c r="BL25" s="179">
        <f>BH25*BJ25</f>
        <v>1738486.7514094219</v>
      </c>
      <c r="BM25" s="150"/>
      <c r="BN25" s="179">
        <f>BL25</f>
        <v>1738486.7514094219</v>
      </c>
      <c r="BP25" s="179">
        <v>0</v>
      </c>
      <c r="BQ25" s="179"/>
      <c r="BR25" s="150"/>
    </row>
    <row r="26" spans="1:70" x14ac:dyDescent="0.3">
      <c r="A26" s="159">
        <f t="shared" si="2"/>
        <v>13</v>
      </c>
      <c r="B26" s="178"/>
      <c r="C26" s="150"/>
      <c r="D26" s="182">
        <v>4</v>
      </c>
      <c r="E26" s="150" t="s">
        <v>174</v>
      </c>
      <c r="F26" s="150"/>
      <c r="G26" s="150"/>
      <c r="H26" s="179">
        <f>+'[7]5-E10 Jur Energy Sales'!$K$24</f>
        <v>4328.4779296033894</v>
      </c>
      <c r="I26" s="150"/>
      <c r="J26" s="187">
        <f>+J19</f>
        <v>1</v>
      </c>
      <c r="K26" s="150"/>
      <c r="L26" s="179">
        <f>H26*J26</f>
        <v>4328.4779296033894</v>
      </c>
      <c r="M26" s="150"/>
      <c r="N26" s="179">
        <f>L26</f>
        <v>4328.4779296033894</v>
      </c>
      <c r="P26" s="179"/>
      <c r="Q26" s="179"/>
      <c r="R26" s="188"/>
      <c r="S26" s="150"/>
      <c r="T26" s="167"/>
      <c r="U26" s="161"/>
      <c r="V26" s="167"/>
      <c r="W26" s="161"/>
      <c r="X26" s="167"/>
      <c r="Y26" s="161"/>
      <c r="Z26" s="170"/>
      <c r="AA26" s="159">
        <f t="shared" si="0"/>
        <v>13</v>
      </c>
      <c r="AB26" s="178"/>
      <c r="AC26" s="150"/>
      <c r="AD26" s="182">
        <v>4</v>
      </c>
      <c r="AE26" s="150" t="s">
        <v>174</v>
      </c>
      <c r="AF26" s="150"/>
      <c r="AG26" s="150"/>
      <c r="AH26" s="179">
        <f>+'[7]4-E10 Jur Energy Sales'!$K$24</f>
        <v>4299.4792513956163</v>
      </c>
      <c r="AI26" s="150"/>
      <c r="AJ26" s="180">
        <f t="shared" si="5"/>
        <v>1</v>
      </c>
      <c r="AK26" s="150"/>
      <c r="AL26" s="179">
        <f>AH26*AJ26</f>
        <v>4299.4792513956163</v>
      </c>
      <c r="AM26" s="150"/>
      <c r="AN26" s="179">
        <f>AL26</f>
        <v>4299.4792513956163</v>
      </c>
      <c r="AP26" s="179"/>
      <c r="AQ26" s="179"/>
      <c r="AR26" s="188"/>
      <c r="AZ26" s="170"/>
      <c r="BA26" s="159">
        <f t="shared" si="1"/>
        <v>13</v>
      </c>
      <c r="BB26" s="178"/>
      <c r="BC26" s="150"/>
      <c r="BD26" s="182">
        <v>4</v>
      </c>
      <c r="BE26" s="150" t="s">
        <v>174</v>
      </c>
      <c r="BF26" s="150"/>
      <c r="BG26" s="150"/>
      <c r="BH26" s="179">
        <f>+'[7]3-E10 Jur Energy Sales'!$K$24</f>
        <v>4270.3413464142532</v>
      </c>
      <c r="BI26" s="150"/>
      <c r="BJ26" s="180">
        <f t="shared" si="6"/>
        <v>1</v>
      </c>
      <c r="BK26" s="150"/>
      <c r="BL26" s="179">
        <f>BH26*BJ26</f>
        <v>4270.3413464142532</v>
      </c>
      <c r="BM26" s="150"/>
      <c r="BN26" s="179">
        <f>BL26</f>
        <v>4270.3413464142532</v>
      </c>
      <c r="BP26" s="179"/>
      <c r="BQ26" s="179"/>
      <c r="BR26" s="188"/>
    </row>
    <row r="27" spans="1:70" x14ac:dyDescent="0.3">
      <c r="A27" s="159">
        <f t="shared" si="2"/>
        <v>14</v>
      </c>
      <c r="B27" s="178"/>
      <c r="C27" s="150"/>
      <c r="D27" s="182">
        <v>5</v>
      </c>
      <c r="E27" s="150" t="s">
        <v>167</v>
      </c>
      <c r="F27" s="150"/>
      <c r="G27" s="150"/>
      <c r="H27" s="179">
        <f>+'[7]5-E10 Jur Energy Sales'!$K$26</f>
        <v>11036274.197567809</v>
      </c>
      <c r="I27" s="150"/>
      <c r="J27" s="187">
        <f>J14</f>
        <v>1</v>
      </c>
      <c r="K27" s="150"/>
      <c r="L27" s="179">
        <f>H27*J27</f>
        <v>11036274.197567809</v>
      </c>
      <c r="M27" s="150"/>
      <c r="N27" s="179">
        <f>L27</f>
        <v>11036274.197567809</v>
      </c>
      <c r="P27" s="179">
        <f>N27</f>
        <v>11036274.197567809</v>
      </c>
      <c r="Q27" s="179"/>
      <c r="R27" s="150"/>
      <c r="S27" s="150"/>
      <c r="T27" s="167"/>
      <c r="U27" s="167"/>
      <c r="V27" s="167"/>
      <c r="W27" s="167"/>
      <c r="X27" s="167"/>
      <c r="Y27" s="167"/>
      <c r="Z27" s="170"/>
      <c r="AA27" s="159">
        <f t="shared" si="0"/>
        <v>14</v>
      </c>
      <c r="AB27" s="178"/>
      <c r="AC27" s="150"/>
      <c r="AD27" s="182">
        <v>5</v>
      </c>
      <c r="AE27" s="150" t="s">
        <v>167</v>
      </c>
      <c r="AF27" s="150"/>
      <c r="AG27" s="150"/>
      <c r="AH27" s="179">
        <f>+'[7]4-E10 Jur Energy Sales'!$K$26</f>
        <v>10979556.808945941</v>
      </c>
      <c r="AI27" s="150"/>
      <c r="AJ27" s="180">
        <f t="shared" si="5"/>
        <v>1</v>
      </c>
      <c r="AK27" s="150"/>
      <c r="AL27" s="179">
        <f>AH27*AJ27</f>
        <v>10979556.808945941</v>
      </c>
      <c r="AM27" s="150"/>
      <c r="AN27" s="179">
        <f>AL27</f>
        <v>10979556.808945941</v>
      </c>
      <c r="AP27" s="179">
        <f>AN27</f>
        <v>10979556.808945941</v>
      </c>
      <c r="AQ27" s="179"/>
      <c r="AR27" s="150"/>
      <c r="AS27" s="150"/>
      <c r="AT27" s="150"/>
      <c r="AU27" s="150"/>
      <c r="AV27" s="150"/>
      <c r="AW27" s="150"/>
      <c r="AZ27" s="170"/>
      <c r="BA27" s="159">
        <f t="shared" si="1"/>
        <v>14</v>
      </c>
      <c r="BB27" s="178"/>
      <c r="BC27" s="150"/>
      <c r="BD27" s="182">
        <v>5</v>
      </c>
      <c r="BE27" s="150" t="s">
        <v>167</v>
      </c>
      <c r="BF27" s="150"/>
      <c r="BG27" s="150"/>
      <c r="BH27" s="179">
        <f>+'[7]3-E10 Jur Energy Sales'!$K$26</f>
        <v>10927270.303725917</v>
      </c>
      <c r="BI27" s="150"/>
      <c r="BJ27" s="180">
        <f t="shared" si="6"/>
        <v>1</v>
      </c>
      <c r="BK27" s="150"/>
      <c r="BL27" s="179">
        <f>BH27*BJ27</f>
        <v>10927270.303725917</v>
      </c>
      <c r="BM27" s="150"/>
      <c r="BN27" s="179">
        <f>BL27</f>
        <v>10927270.303725917</v>
      </c>
      <c r="BP27" s="179">
        <f>BN27</f>
        <v>10927270.303725917</v>
      </c>
      <c r="BQ27" s="179"/>
      <c r="BR27" s="150"/>
    </row>
    <row r="28" spans="1:70" x14ac:dyDescent="0.25">
      <c r="A28" s="159">
        <f t="shared" si="2"/>
        <v>15</v>
      </c>
      <c r="B28" s="178"/>
      <c r="C28" s="150"/>
      <c r="D28" s="150" t="s">
        <v>175</v>
      </c>
      <c r="E28" s="150"/>
      <c r="F28" s="150"/>
      <c r="G28" s="150"/>
      <c r="H28" s="190">
        <f>SUM(H23:H27)</f>
        <v>13304135.24746917</v>
      </c>
      <c r="I28" s="150"/>
      <c r="J28" s="187"/>
      <c r="K28" s="150"/>
      <c r="L28" s="190">
        <f>SUM(L23:L27)</f>
        <v>13276600.123999214</v>
      </c>
      <c r="M28" s="150"/>
      <c r="N28" s="190">
        <f>SUM(N23:N27)</f>
        <v>12796419.944475779</v>
      </c>
      <c r="P28" s="190">
        <f>SUM(P23:P27)</f>
        <v>11036274.197567809</v>
      </c>
      <c r="Q28" s="179"/>
      <c r="S28" s="150"/>
      <c r="T28" s="167"/>
      <c r="U28" s="167"/>
      <c r="V28" s="167"/>
      <c r="W28" s="167"/>
      <c r="X28" s="167"/>
      <c r="Y28" s="167"/>
      <c r="Z28" s="170"/>
      <c r="AA28" s="159">
        <f t="shared" si="0"/>
        <v>15</v>
      </c>
      <c r="AB28" s="178"/>
      <c r="AC28" s="150"/>
      <c r="AD28" s="150" t="s">
        <v>175</v>
      </c>
      <c r="AE28" s="150"/>
      <c r="AF28" s="150"/>
      <c r="AG28" s="150"/>
      <c r="AH28" s="190">
        <f>SUM(AH23:AH27)</f>
        <v>13237852.491207983</v>
      </c>
      <c r="AI28" s="150"/>
      <c r="AJ28" s="187"/>
      <c r="AK28" s="150"/>
      <c r="AL28" s="190">
        <f>SUM(AL23:AL27)</f>
        <v>13210433.680976387</v>
      </c>
      <c r="AM28" s="150"/>
      <c r="AN28" s="190">
        <f>SUM(AN23:AN27)</f>
        <v>12732306.557230396</v>
      </c>
      <c r="AP28" s="190">
        <f>SUM(AP23:AP27)</f>
        <v>10979556.808945941</v>
      </c>
      <c r="AQ28" s="179"/>
      <c r="AS28" s="150"/>
      <c r="AT28" s="150"/>
      <c r="AU28" s="150"/>
      <c r="AV28" s="150"/>
      <c r="AW28" s="150"/>
      <c r="AZ28" s="170"/>
      <c r="BA28" s="159">
        <f t="shared" si="1"/>
        <v>15</v>
      </c>
      <c r="BB28" s="178"/>
      <c r="BC28" s="150"/>
      <c r="BD28" s="150" t="s">
        <v>175</v>
      </c>
      <c r="BE28" s="150"/>
      <c r="BF28" s="150"/>
      <c r="BG28" s="150"/>
      <c r="BH28" s="190">
        <f>SUM(BH23:BH27)</f>
        <v>13171829.381206697</v>
      </c>
      <c r="BI28" s="150"/>
      <c r="BJ28" s="187"/>
      <c r="BK28" s="150"/>
      <c r="BL28" s="190">
        <f>SUM(BL23:BL27)</f>
        <v>13144584.078720469</v>
      </c>
      <c r="BM28" s="150"/>
      <c r="BN28" s="190">
        <f>SUM(BN23:BN27)</f>
        <v>12670027.396481752</v>
      </c>
      <c r="BP28" s="190">
        <f>SUM(BP23:BP27)</f>
        <v>10927270.303725917</v>
      </c>
      <c r="BQ28" s="179"/>
    </row>
    <row r="29" spans="1:70" x14ac:dyDescent="0.25">
      <c r="A29" s="159">
        <f t="shared" si="2"/>
        <v>16</v>
      </c>
      <c r="B29" s="178"/>
      <c r="C29" s="150" t="s">
        <v>176</v>
      </c>
      <c r="D29" s="150" t="s">
        <v>177</v>
      </c>
      <c r="E29" s="150"/>
      <c r="F29" s="150"/>
      <c r="G29" s="150"/>
      <c r="H29" s="179"/>
      <c r="I29" s="150"/>
      <c r="J29" s="187"/>
      <c r="K29" s="150"/>
      <c r="L29" s="179"/>
      <c r="M29" s="150"/>
      <c r="N29" s="179"/>
      <c r="P29" s="179"/>
      <c r="Q29" s="179"/>
      <c r="S29" s="150"/>
      <c r="T29" s="167"/>
      <c r="U29" s="167"/>
      <c r="V29" s="167"/>
      <c r="W29" s="167"/>
      <c r="X29" s="167"/>
      <c r="Y29" s="167"/>
      <c r="Z29" s="170"/>
      <c r="AA29" s="159">
        <f t="shared" si="0"/>
        <v>16</v>
      </c>
      <c r="AB29" s="178"/>
      <c r="AC29" s="150" t="s">
        <v>176</v>
      </c>
      <c r="AD29" s="150" t="s">
        <v>177</v>
      </c>
      <c r="AE29" s="150"/>
      <c r="AF29" s="150"/>
      <c r="AG29" s="150"/>
      <c r="AH29" s="179"/>
      <c r="AI29" s="150"/>
      <c r="AJ29" s="187"/>
      <c r="AK29" s="150"/>
      <c r="AL29" s="179"/>
      <c r="AM29" s="150"/>
      <c r="AN29" s="179"/>
      <c r="AP29" s="179"/>
      <c r="AQ29" s="179"/>
      <c r="AS29" s="150"/>
      <c r="AT29" s="150"/>
      <c r="AU29" s="150"/>
      <c r="AV29" s="150"/>
      <c r="AW29" s="150"/>
      <c r="AZ29" s="170"/>
      <c r="BA29" s="159">
        <f t="shared" si="1"/>
        <v>16</v>
      </c>
      <c r="BB29" s="178"/>
      <c r="BC29" s="150" t="s">
        <v>176</v>
      </c>
      <c r="BD29" s="150" t="s">
        <v>177</v>
      </c>
      <c r="BE29" s="150"/>
      <c r="BF29" s="150"/>
      <c r="BG29" s="150"/>
      <c r="BH29" s="179"/>
      <c r="BI29" s="150"/>
      <c r="BJ29" s="187"/>
      <c r="BK29" s="150"/>
      <c r="BL29" s="179"/>
      <c r="BM29" s="150"/>
      <c r="BN29" s="179"/>
      <c r="BP29" s="179"/>
      <c r="BQ29" s="179"/>
    </row>
    <row r="30" spans="1:70" x14ac:dyDescent="0.3">
      <c r="A30" s="159">
        <f t="shared" si="2"/>
        <v>17</v>
      </c>
      <c r="B30" s="178"/>
      <c r="C30" s="150"/>
      <c r="D30" s="182">
        <v>1</v>
      </c>
      <c r="E30" s="150" t="s">
        <v>64</v>
      </c>
      <c r="F30" s="150"/>
      <c r="G30" s="150"/>
      <c r="H30" s="179">
        <f>+'[7]5-E10 Jur Energy Sales'!$K$28</f>
        <v>0</v>
      </c>
      <c r="I30" s="150"/>
      <c r="J30" s="187">
        <f>J16</f>
        <v>0.98</v>
      </c>
      <c r="K30" s="150"/>
      <c r="L30" s="179">
        <f>H30*J30</f>
        <v>0</v>
      </c>
      <c r="M30" s="150"/>
      <c r="N30" s="179">
        <v>0</v>
      </c>
      <c r="P30" s="179">
        <v>0</v>
      </c>
      <c r="Q30" s="179"/>
      <c r="S30" s="150"/>
      <c r="T30" s="167"/>
      <c r="U30" s="161"/>
      <c r="V30" s="167"/>
      <c r="W30" s="161"/>
      <c r="X30" s="167"/>
      <c r="Y30" s="161"/>
      <c r="Z30" s="170"/>
      <c r="AA30" s="159">
        <f t="shared" si="0"/>
        <v>17</v>
      </c>
      <c r="AB30" s="178"/>
      <c r="AC30" s="150"/>
      <c r="AD30" s="182">
        <v>1</v>
      </c>
      <c r="AE30" s="150" t="s">
        <v>64</v>
      </c>
      <c r="AF30" s="150"/>
      <c r="AG30" s="150"/>
      <c r="AH30" s="179">
        <f>+'[7]4-E10 Jur Energy Sales'!$K$28</f>
        <v>0</v>
      </c>
      <c r="AI30" s="150"/>
      <c r="AJ30" s="180">
        <f t="shared" ref="AJ30:AJ32" si="7">+J30</f>
        <v>0.98</v>
      </c>
      <c r="AK30" s="150"/>
      <c r="AL30" s="179">
        <f>AH30*AJ30</f>
        <v>0</v>
      </c>
      <c r="AM30" s="150"/>
      <c r="AN30" s="179">
        <v>0</v>
      </c>
      <c r="AP30" s="179">
        <v>0</v>
      </c>
      <c r="AQ30" s="179"/>
      <c r="AZ30" s="170"/>
      <c r="BA30" s="159">
        <f t="shared" si="1"/>
        <v>17</v>
      </c>
      <c r="BB30" s="178"/>
      <c r="BC30" s="150"/>
      <c r="BD30" s="182">
        <v>1</v>
      </c>
      <c r="BE30" s="150" t="s">
        <v>64</v>
      </c>
      <c r="BF30" s="150"/>
      <c r="BG30" s="150"/>
      <c r="BH30" s="179">
        <f>+'[7]3-E10 Jur Energy Sales'!$K$28</f>
        <v>0</v>
      </c>
      <c r="BI30" s="150"/>
      <c r="BJ30" s="180">
        <f t="shared" ref="BJ30:BJ32" si="8">+AJ30</f>
        <v>0.98</v>
      </c>
      <c r="BK30" s="150"/>
      <c r="BL30" s="179">
        <f>BH30*BJ30</f>
        <v>0</v>
      </c>
      <c r="BM30" s="150"/>
      <c r="BN30" s="179">
        <v>0</v>
      </c>
      <c r="BP30" s="179">
        <v>0</v>
      </c>
      <c r="BQ30" s="179"/>
    </row>
    <row r="31" spans="1:70" x14ac:dyDescent="0.3">
      <c r="A31" s="159">
        <f t="shared" si="2"/>
        <v>18</v>
      </c>
      <c r="B31" s="178"/>
      <c r="C31" s="150"/>
      <c r="D31" s="182">
        <v>2</v>
      </c>
      <c r="E31" s="150" t="s">
        <v>165</v>
      </c>
      <c r="F31" s="150"/>
      <c r="G31" s="150"/>
      <c r="H31" s="179">
        <f>+'[7]5-E10 Jur Energy Sales'!$K$29</f>
        <v>67110.812500265747</v>
      </c>
      <c r="I31" s="150"/>
      <c r="J31" s="187">
        <f>J17</f>
        <v>0.99</v>
      </c>
      <c r="K31" s="150"/>
      <c r="L31" s="179">
        <f>H31*J31</f>
        <v>66439.704375263085</v>
      </c>
      <c r="M31" s="150"/>
      <c r="N31" s="179">
        <f>L31</f>
        <v>66439.704375263085</v>
      </c>
      <c r="P31" s="179">
        <v>0</v>
      </c>
      <c r="Q31" s="179"/>
      <c r="R31" s="150"/>
      <c r="S31" s="150"/>
      <c r="T31" s="167"/>
      <c r="U31" s="167"/>
      <c r="V31" s="167"/>
      <c r="W31" s="167"/>
      <c r="X31" s="167"/>
      <c r="Y31" s="167"/>
      <c r="Z31" s="170"/>
      <c r="AA31" s="159">
        <f t="shared" si="0"/>
        <v>18</v>
      </c>
      <c r="AB31" s="178"/>
      <c r="AC31" s="150"/>
      <c r="AD31" s="182">
        <v>2</v>
      </c>
      <c r="AE31" s="150" t="s">
        <v>165</v>
      </c>
      <c r="AF31" s="150"/>
      <c r="AG31" s="150"/>
      <c r="AH31" s="179">
        <f>+'[7]4-E10 Jur Energy Sales'!$K$29</f>
        <v>66880.904982987529</v>
      </c>
      <c r="AI31" s="150"/>
      <c r="AJ31" s="180">
        <f t="shared" si="7"/>
        <v>0.99</v>
      </c>
      <c r="AK31" s="150"/>
      <c r="AL31" s="179">
        <f>AH31*AJ31</f>
        <v>66212.09593315766</v>
      </c>
      <c r="AM31" s="150"/>
      <c r="AN31" s="179">
        <f>AL31</f>
        <v>66212.09593315766</v>
      </c>
      <c r="AP31" s="179">
        <v>0</v>
      </c>
      <c r="AQ31" s="179"/>
      <c r="AR31" s="150"/>
      <c r="AS31" s="150"/>
      <c r="AT31" s="150"/>
      <c r="AU31" s="150"/>
      <c r="AV31" s="150"/>
      <c r="AW31" s="150"/>
      <c r="AZ31" s="170"/>
      <c r="BA31" s="159">
        <f t="shared" si="1"/>
        <v>18</v>
      </c>
      <c r="BB31" s="178"/>
      <c r="BC31" s="150"/>
      <c r="BD31" s="182">
        <v>2</v>
      </c>
      <c r="BE31" s="150" t="s">
        <v>165</v>
      </c>
      <c r="BF31" s="150"/>
      <c r="BG31" s="150"/>
      <c r="BH31" s="179">
        <f>+'[7]3-E10 Jur Energy Sales'!$K$29</f>
        <v>66205.357333145468</v>
      </c>
      <c r="BI31" s="150"/>
      <c r="BJ31" s="180">
        <f t="shared" si="8"/>
        <v>0.99</v>
      </c>
      <c r="BK31" s="150"/>
      <c r="BL31" s="179">
        <f>BH31*BJ31</f>
        <v>65543.303759814007</v>
      </c>
      <c r="BM31" s="150"/>
      <c r="BN31" s="179">
        <f>BL31</f>
        <v>65543.303759814007</v>
      </c>
      <c r="BP31" s="179">
        <v>0</v>
      </c>
      <c r="BQ31" s="179"/>
      <c r="BR31" s="150"/>
    </row>
    <row r="32" spans="1:70" x14ac:dyDescent="0.3">
      <c r="A32" s="159">
        <f t="shared" si="2"/>
        <v>19</v>
      </c>
      <c r="B32" s="178"/>
      <c r="C32" s="150"/>
      <c r="D32" s="182">
        <v>3</v>
      </c>
      <c r="E32" s="150" t="s">
        <v>167</v>
      </c>
      <c r="F32" s="150"/>
      <c r="G32" s="150"/>
      <c r="H32" s="179">
        <f>+'[7]5-E10 Jur Energy Sales'!$K$30</f>
        <v>-1.0327760138460873E-2</v>
      </c>
      <c r="I32" s="150"/>
      <c r="J32" s="187">
        <f>J14</f>
        <v>1</v>
      </c>
      <c r="K32" s="150"/>
      <c r="L32" s="179">
        <f>H32*J32</f>
        <v>-1.0327760138460873E-2</v>
      </c>
      <c r="M32" s="150"/>
      <c r="N32" s="179">
        <f>L32</f>
        <v>-1.0327760138460873E-2</v>
      </c>
      <c r="P32" s="179">
        <f>N32</f>
        <v>-1.0327760138460873E-2</v>
      </c>
      <c r="Q32" s="179"/>
      <c r="S32" s="150"/>
      <c r="T32" s="167"/>
      <c r="U32" s="161"/>
      <c r="V32" s="167"/>
      <c r="W32" s="161"/>
      <c r="X32" s="167"/>
      <c r="Y32" s="161"/>
      <c r="Z32" s="170"/>
      <c r="AA32" s="159">
        <f t="shared" si="0"/>
        <v>19</v>
      </c>
      <c r="AB32" s="178"/>
      <c r="AC32" s="150"/>
      <c r="AD32" s="182">
        <v>3</v>
      </c>
      <c r="AE32" s="150" t="s">
        <v>167</v>
      </c>
      <c r="AF32" s="150"/>
      <c r="AG32" s="150"/>
      <c r="AH32" s="179">
        <f>'[7]4-E10 Class Alloc'!$E34</f>
        <v>0</v>
      </c>
      <c r="AI32" s="150"/>
      <c r="AJ32" s="180">
        <f t="shared" si="7"/>
        <v>1</v>
      </c>
      <c r="AK32" s="150"/>
      <c r="AL32" s="179">
        <f>AH32*AJ32</f>
        <v>0</v>
      </c>
      <c r="AM32" s="150"/>
      <c r="AN32" s="179">
        <f>AL32</f>
        <v>0</v>
      </c>
      <c r="AP32" s="179">
        <f>AN32</f>
        <v>0</v>
      </c>
      <c r="AQ32" s="179"/>
      <c r="AZ32" s="170"/>
      <c r="BA32" s="159">
        <f t="shared" si="1"/>
        <v>19</v>
      </c>
      <c r="BB32" s="178"/>
      <c r="BC32" s="150"/>
      <c r="BD32" s="182">
        <v>3</v>
      </c>
      <c r="BE32" s="150" t="s">
        <v>167</v>
      </c>
      <c r="BF32" s="150"/>
      <c r="BG32" s="150"/>
      <c r="BH32" s="179">
        <f>+'[7]3-E10 Jur Energy Sales'!$K$30</f>
        <v>-1.0413047890876921E-2</v>
      </c>
      <c r="BI32" s="150"/>
      <c r="BJ32" s="180">
        <f t="shared" si="8"/>
        <v>1</v>
      </c>
      <c r="BK32" s="150"/>
      <c r="BL32" s="179">
        <f>BH32*BJ32</f>
        <v>-1.0413047890876921E-2</v>
      </c>
      <c r="BM32" s="150"/>
      <c r="BN32" s="179">
        <f>BL32</f>
        <v>-1.0413047890876921E-2</v>
      </c>
      <c r="BP32" s="179">
        <f>BN32</f>
        <v>-1.0413047890876921E-2</v>
      </c>
      <c r="BQ32" s="179"/>
    </row>
    <row r="33" spans="1:70" x14ac:dyDescent="0.25">
      <c r="A33" s="159">
        <f t="shared" si="2"/>
        <v>20</v>
      </c>
      <c r="B33" s="178"/>
      <c r="C33" s="150"/>
      <c r="D33" s="150" t="s">
        <v>178</v>
      </c>
      <c r="E33" s="150"/>
      <c r="F33" s="150"/>
      <c r="G33" s="150"/>
      <c r="H33" s="190">
        <f>SUM(H30:H32)</f>
        <v>67110.802172505602</v>
      </c>
      <c r="I33" s="150"/>
      <c r="J33" s="187"/>
      <c r="K33" s="150"/>
      <c r="L33" s="190">
        <f>SUM(L30:L32)</f>
        <v>66439.694047502941</v>
      </c>
      <c r="M33" s="150"/>
      <c r="N33" s="190">
        <f>SUM(N30:N32)</f>
        <v>66439.694047502941</v>
      </c>
      <c r="P33" s="190">
        <f>SUM(P30:P32)</f>
        <v>-1.0327760138460873E-2</v>
      </c>
      <c r="Q33" s="179"/>
      <c r="R33" s="188"/>
      <c r="S33" s="150"/>
      <c r="T33" s="167"/>
      <c r="U33" s="161"/>
      <c r="V33" s="167"/>
      <c r="W33" s="161"/>
      <c r="X33" s="167"/>
      <c r="Y33" s="161"/>
      <c r="Z33" s="170"/>
      <c r="AA33" s="159">
        <f t="shared" si="0"/>
        <v>20</v>
      </c>
      <c r="AB33" s="178"/>
      <c r="AC33" s="150"/>
      <c r="AD33" s="150" t="s">
        <v>178</v>
      </c>
      <c r="AE33" s="150"/>
      <c r="AF33" s="150"/>
      <c r="AG33" s="150"/>
      <c r="AH33" s="190">
        <f>SUM(AH30:AH32)</f>
        <v>66880.904982987529</v>
      </c>
      <c r="AI33" s="150"/>
      <c r="AJ33" s="187"/>
      <c r="AK33" s="150"/>
      <c r="AL33" s="190">
        <f>SUM(AL30:AL32)</f>
        <v>66212.09593315766</v>
      </c>
      <c r="AM33" s="150"/>
      <c r="AN33" s="190">
        <f>SUM(AN30:AN32)</f>
        <v>66212.09593315766</v>
      </c>
      <c r="AP33" s="190">
        <f>SUM(AP30:AP32)</f>
        <v>0</v>
      </c>
      <c r="AQ33" s="179"/>
      <c r="AR33" s="188"/>
      <c r="AZ33" s="170"/>
      <c r="BA33" s="159">
        <f t="shared" si="1"/>
        <v>20</v>
      </c>
      <c r="BB33" s="178"/>
      <c r="BC33" s="150"/>
      <c r="BD33" s="150" t="s">
        <v>178</v>
      </c>
      <c r="BE33" s="150"/>
      <c r="BF33" s="150"/>
      <c r="BG33" s="150"/>
      <c r="BH33" s="190">
        <f>SUM(BH30:BH32)</f>
        <v>66205.346920097581</v>
      </c>
      <c r="BI33" s="150"/>
      <c r="BJ33" s="187"/>
      <c r="BK33" s="150"/>
      <c r="BL33" s="190">
        <f>SUM(BL30:BL32)</f>
        <v>65543.293346766121</v>
      </c>
      <c r="BM33" s="150"/>
      <c r="BN33" s="190">
        <f>SUM(BN30:BN32)</f>
        <v>65543.293346766121</v>
      </c>
      <c r="BP33" s="190">
        <f>SUM(BP30:BP32)</f>
        <v>-1.0413047890876921E-2</v>
      </c>
      <c r="BQ33" s="179"/>
      <c r="BR33" s="188"/>
    </row>
    <row r="34" spans="1:70" x14ac:dyDescent="0.25">
      <c r="A34" s="159">
        <f t="shared" si="2"/>
        <v>21</v>
      </c>
      <c r="B34" s="178"/>
      <c r="C34" s="150" t="s">
        <v>179</v>
      </c>
      <c r="D34" s="150" t="s">
        <v>180</v>
      </c>
      <c r="E34" s="150"/>
      <c r="F34" s="150"/>
      <c r="G34" s="150"/>
      <c r="H34" s="179"/>
      <c r="I34" s="150"/>
      <c r="J34" s="187"/>
      <c r="K34" s="150"/>
      <c r="L34" s="179"/>
      <c r="M34" s="150"/>
      <c r="N34" s="179"/>
      <c r="P34" s="179"/>
      <c r="Q34" s="179"/>
      <c r="R34" s="150"/>
      <c r="S34" s="150"/>
      <c r="T34" s="167"/>
      <c r="U34" s="161"/>
      <c r="V34" s="167"/>
      <c r="W34" s="161"/>
      <c r="X34" s="167"/>
      <c r="Y34" s="161"/>
      <c r="Z34" s="170"/>
      <c r="AA34" s="159">
        <f t="shared" si="0"/>
        <v>21</v>
      </c>
      <c r="AB34" s="178"/>
      <c r="AC34" s="150" t="s">
        <v>179</v>
      </c>
      <c r="AD34" s="150" t="s">
        <v>180</v>
      </c>
      <c r="AE34" s="150"/>
      <c r="AF34" s="150"/>
      <c r="AG34" s="150"/>
      <c r="AH34" s="179"/>
      <c r="AI34" s="150"/>
      <c r="AJ34" s="187"/>
      <c r="AK34" s="150"/>
      <c r="AL34" s="179"/>
      <c r="AM34" s="150"/>
      <c r="AN34" s="179"/>
      <c r="AP34" s="179"/>
      <c r="AQ34" s="179"/>
      <c r="AR34" s="150"/>
      <c r="AZ34" s="170"/>
      <c r="BA34" s="159">
        <f t="shared" si="1"/>
        <v>21</v>
      </c>
      <c r="BB34" s="178"/>
      <c r="BC34" s="150" t="s">
        <v>179</v>
      </c>
      <c r="BD34" s="150" t="s">
        <v>180</v>
      </c>
      <c r="BE34" s="150"/>
      <c r="BF34" s="150"/>
      <c r="BG34" s="150"/>
      <c r="BH34" s="179"/>
      <c r="BI34" s="150"/>
      <c r="BJ34" s="187"/>
      <c r="BK34" s="150"/>
      <c r="BL34" s="179"/>
      <c r="BM34" s="150"/>
      <c r="BN34" s="179"/>
      <c r="BP34" s="179"/>
      <c r="BQ34" s="179"/>
      <c r="BR34" s="150"/>
    </row>
    <row r="35" spans="1:70" x14ac:dyDescent="0.3">
      <c r="A35" s="159">
        <f t="shared" si="2"/>
        <v>22</v>
      </c>
      <c r="B35" s="178"/>
      <c r="C35" s="150"/>
      <c r="D35" s="182">
        <v>1</v>
      </c>
      <c r="E35" s="150" t="s">
        <v>64</v>
      </c>
      <c r="F35" s="150"/>
      <c r="G35" s="150"/>
      <c r="H35" s="179">
        <f>+'[7]5-E10 Jur Energy Sales'!$K$32</f>
        <v>982758.14068545587</v>
      </c>
      <c r="I35" s="150"/>
      <c r="J35" s="187">
        <f>J16</f>
        <v>0.98</v>
      </c>
      <c r="K35" s="150"/>
      <c r="L35" s="179">
        <f t="shared" ref="L35:L40" si="9">H35*J35</f>
        <v>963102.97787174676</v>
      </c>
      <c r="M35" s="150"/>
      <c r="N35" s="179">
        <v>0</v>
      </c>
      <c r="P35" s="179">
        <v>0</v>
      </c>
      <c r="Q35" s="179"/>
      <c r="R35" s="150"/>
      <c r="S35" s="150"/>
      <c r="T35" s="167"/>
      <c r="U35" s="167"/>
      <c r="V35" s="167"/>
      <c r="W35" s="167"/>
      <c r="X35" s="167"/>
      <c r="Y35" s="167"/>
      <c r="Z35" s="170"/>
      <c r="AA35" s="159">
        <f t="shared" si="0"/>
        <v>22</v>
      </c>
      <c r="AB35" s="178"/>
      <c r="AC35" s="150"/>
      <c r="AD35" s="182">
        <v>1</v>
      </c>
      <c r="AE35" s="150" t="s">
        <v>64</v>
      </c>
      <c r="AF35" s="150"/>
      <c r="AG35" s="150"/>
      <c r="AH35" s="179">
        <f>+'[7]4-E10 Jur Energy Sales'!$K$32</f>
        <v>981013.94165330078</v>
      </c>
      <c r="AI35" s="150"/>
      <c r="AJ35" s="180">
        <f t="shared" ref="AJ35:AJ40" si="10">+J35</f>
        <v>0.98</v>
      </c>
      <c r="AK35" s="150"/>
      <c r="AL35" s="179">
        <f t="shared" ref="AL35:AL40" si="11">AH35*AJ35</f>
        <v>961393.66282023478</v>
      </c>
      <c r="AM35" s="150"/>
      <c r="AN35" s="179">
        <v>0</v>
      </c>
      <c r="AP35" s="179">
        <v>0</v>
      </c>
      <c r="AQ35" s="179"/>
      <c r="AR35" s="150"/>
      <c r="AS35" s="150"/>
      <c r="AT35" s="150"/>
      <c r="AU35" s="150"/>
      <c r="AV35" s="150"/>
      <c r="AW35" s="150"/>
      <c r="AZ35" s="170"/>
      <c r="BA35" s="159">
        <f t="shared" si="1"/>
        <v>22</v>
      </c>
      <c r="BB35" s="178"/>
      <c r="BC35" s="150"/>
      <c r="BD35" s="182">
        <v>1</v>
      </c>
      <c r="BE35" s="150" t="s">
        <v>64</v>
      </c>
      <c r="BF35" s="150"/>
      <c r="BG35" s="150"/>
      <c r="BH35" s="179">
        <f>+'[7]3-E10 Jur Energy Sales'!$K$32</f>
        <v>968111.58497917245</v>
      </c>
      <c r="BI35" s="150"/>
      <c r="BJ35" s="180">
        <f t="shared" ref="BJ35:BJ40" si="12">+AJ35</f>
        <v>0.98</v>
      </c>
      <c r="BK35" s="150"/>
      <c r="BL35" s="179">
        <f t="shared" ref="BL35:BL40" si="13">BH35*BJ35</f>
        <v>948749.35327958898</v>
      </c>
      <c r="BM35" s="150"/>
      <c r="BN35" s="179">
        <v>0</v>
      </c>
      <c r="BP35" s="179">
        <v>0</v>
      </c>
      <c r="BQ35" s="179"/>
      <c r="BR35" s="150"/>
    </row>
    <row r="36" spans="1:70" x14ac:dyDescent="0.3">
      <c r="A36" s="159">
        <f t="shared" si="2"/>
        <v>23</v>
      </c>
      <c r="B36" s="178"/>
      <c r="C36" s="150"/>
      <c r="D36" s="182">
        <v>2</v>
      </c>
      <c r="E36" s="150" t="s">
        <v>173</v>
      </c>
      <c r="F36" s="150"/>
      <c r="G36" s="150"/>
      <c r="H36" s="179">
        <f>+'[7]5-E10 Jur Energy Sales'!$K$33</f>
        <v>225245.08731258061</v>
      </c>
      <c r="I36" s="150"/>
      <c r="J36" s="187">
        <f>J17</f>
        <v>0.99</v>
      </c>
      <c r="K36" s="150"/>
      <c r="L36" s="179">
        <f t="shared" si="9"/>
        <v>222992.6364394548</v>
      </c>
      <c r="M36" s="150"/>
      <c r="N36" s="179"/>
      <c r="P36" s="179">
        <v>0</v>
      </c>
      <c r="Q36" s="179"/>
      <c r="R36" s="150"/>
      <c r="S36" s="150"/>
      <c r="T36" s="167"/>
      <c r="U36" s="161"/>
      <c r="V36" s="167"/>
      <c r="W36" s="161"/>
      <c r="X36" s="167"/>
      <c r="Y36" s="161"/>
      <c r="Z36" s="170"/>
      <c r="AA36" s="159">
        <f t="shared" si="0"/>
        <v>23</v>
      </c>
      <c r="AB36" s="178"/>
      <c r="AC36" s="150"/>
      <c r="AD36" s="182">
        <v>2</v>
      </c>
      <c r="AE36" s="150" t="s">
        <v>173</v>
      </c>
      <c r="AF36" s="150"/>
      <c r="AG36" s="150"/>
      <c r="AH36" s="179">
        <f>+'[7]4-E10 Jur Energy Sales'!$K$33</f>
        <v>224957.11812369726</v>
      </c>
      <c r="AI36" s="150"/>
      <c r="AJ36" s="180">
        <f t="shared" si="10"/>
        <v>0.99</v>
      </c>
      <c r="AK36" s="150"/>
      <c r="AL36" s="179">
        <f t="shared" si="11"/>
        <v>222707.54694246029</v>
      </c>
      <c r="AM36" s="150"/>
      <c r="AN36" s="179"/>
      <c r="AP36" s="179">
        <v>0</v>
      </c>
      <c r="AQ36" s="179"/>
      <c r="AR36" s="150"/>
      <c r="AZ36" s="170"/>
      <c r="BA36" s="159">
        <f t="shared" si="1"/>
        <v>23</v>
      </c>
      <c r="BB36" s="178"/>
      <c r="BC36" s="150"/>
      <c r="BD36" s="182">
        <v>2</v>
      </c>
      <c r="BE36" s="150" t="s">
        <v>173</v>
      </c>
      <c r="BF36" s="150"/>
      <c r="BG36" s="150"/>
      <c r="BH36" s="179">
        <f>+'[7]3-E10 Jur Energy Sales'!$K$33</f>
        <v>222037.88159481308</v>
      </c>
      <c r="BI36" s="150"/>
      <c r="BJ36" s="180">
        <f t="shared" si="12"/>
        <v>0.99</v>
      </c>
      <c r="BK36" s="150"/>
      <c r="BL36" s="179">
        <f t="shared" si="13"/>
        <v>219817.50277886496</v>
      </c>
      <c r="BM36" s="150"/>
      <c r="BN36" s="179"/>
      <c r="BP36" s="179">
        <v>0</v>
      </c>
      <c r="BQ36" s="179"/>
      <c r="BR36" s="150"/>
    </row>
    <row r="37" spans="1:70" x14ac:dyDescent="0.3">
      <c r="A37" s="159">
        <f t="shared" si="2"/>
        <v>24</v>
      </c>
      <c r="B37" s="178"/>
      <c r="C37" s="150"/>
      <c r="D37" s="182">
        <v>3</v>
      </c>
      <c r="E37" s="150" t="s">
        <v>165</v>
      </c>
      <c r="F37" s="150"/>
      <c r="G37" s="150"/>
      <c r="H37" s="179">
        <f>+'[7]5-E10 Jur Energy Sales'!$K$34</f>
        <v>992052.86691678525</v>
      </c>
      <c r="I37" s="150"/>
      <c r="J37" s="187">
        <f>J17</f>
        <v>0.99</v>
      </c>
      <c r="K37" s="150"/>
      <c r="L37" s="179">
        <f t="shared" si="9"/>
        <v>982132.33824761736</v>
      </c>
      <c r="M37" s="150"/>
      <c r="N37" s="179">
        <f>L37</f>
        <v>982132.33824761736</v>
      </c>
      <c r="P37" s="179">
        <v>0</v>
      </c>
      <c r="Q37" s="179"/>
      <c r="R37" s="150"/>
      <c r="S37" s="150"/>
      <c r="T37" s="167"/>
      <c r="U37" s="167"/>
      <c r="V37" s="167"/>
      <c r="W37" s="167"/>
      <c r="X37" s="167"/>
      <c r="Y37" s="167"/>
      <c r="Z37" s="170"/>
      <c r="AA37" s="159">
        <f t="shared" si="0"/>
        <v>24</v>
      </c>
      <c r="AB37" s="178"/>
      <c r="AC37" s="150"/>
      <c r="AD37" s="182">
        <v>3</v>
      </c>
      <c r="AE37" s="150" t="s">
        <v>165</v>
      </c>
      <c r="AF37" s="150"/>
      <c r="AG37" s="150"/>
      <c r="AH37" s="179">
        <f>+'[7]4-E10 Jur Energy Sales'!$K$34</f>
        <v>990621.11336963053</v>
      </c>
      <c r="AI37" s="150"/>
      <c r="AJ37" s="180">
        <f t="shared" si="10"/>
        <v>0.99</v>
      </c>
      <c r="AK37" s="150"/>
      <c r="AL37" s="179">
        <f t="shared" si="11"/>
        <v>980714.90223593416</v>
      </c>
      <c r="AM37" s="150"/>
      <c r="AN37" s="179">
        <f>AL37</f>
        <v>980714.90223593416</v>
      </c>
      <c r="AP37" s="179">
        <v>0</v>
      </c>
      <c r="AQ37" s="179"/>
      <c r="AR37" s="150"/>
      <c r="AS37" s="150"/>
      <c r="AT37" s="150"/>
      <c r="AU37" s="150"/>
      <c r="AV37" s="150"/>
      <c r="AW37" s="150"/>
      <c r="AZ37" s="170"/>
      <c r="BA37" s="159">
        <f t="shared" si="1"/>
        <v>24</v>
      </c>
      <c r="BB37" s="178"/>
      <c r="BC37" s="150"/>
      <c r="BD37" s="182">
        <v>3</v>
      </c>
      <c r="BE37" s="150" t="s">
        <v>165</v>
      </c>
      <c r="BF37" s="150"/>
      <c r="BG37" s="150"/>
      <c r="BH37" s="179">
        <f>+'[7]3-E10 Jur Energy Sales'!$K$34</f>
        <v>977523.84396105283</v>
      </c>
      <c r="BI37" s="150"/>
      <c r="BJ37" s="180">
        <f t="shared" si="12"/>
        <v>0.99</v>
      </c>
      <c r="BK37" s="150"/>
      <c r="BL37" s="179">
        <f t="shared" si="13"/>
        <v>967748.60552144225</v>
      </c>
      <c r="BM37" s="150"/>
      <c r="BN37" s="179">
        <f>BL37</f>
        <v>967748.60552144225</v>
      </c>
      <c r="BP37" s="179">
        <v>0</v>
      </c>
      <c r="BQ37" s="179"/>
      <c r="BR37" s="150"/>
    </row>
    <row r="38" spans="1:70" x14ac:dyDescent="0.3">
      <c r="A38" s="159">
        <f t="shared" si="2"/>
        <v>25</v>
      </c>
      <c r="B38" s="178"/>
      <c r="C38" s="150"/>
      <c r="D38" s="182">
        <v>4</v>
      </c>
      <c r="E38" s="150" t="s">
        <v>181</v>
      </c>
      <c r="F38" s="150"/>
      <c r="G38" s="150"/>
      <c r="H38" s="179">
        <f>+'[7]5-E10 Jur Energy Sales'!$K$35</f>
        <v>0</v>
      </c>
      <c r="I38" s="150"/>
      <c r="J38" s="187">
        <f>J16</f>
        <v>0.98</v>
      </c>
      <c r="K38" s="150"/>
      <c r="L38" s="179">
        <f t="shared" si="9"/>
        <v>0</v>
      </c>
      <c r="M38" s="150"/>
      <c r="N38" s="179">
        <f>L38</f>
        <v>0</v>
      </c>
      <c r="P38" s="179">
        <v>0</v>
      </c>
      <c r="Q38" s="179"/>
      <c r="R38" s="150"/>
      <c r="S38" s="150"/>
      <c r="T38" s="167"/>
      <c r="U38" s="161"/>
      <c r="V38" s="167"/>
      <c r="W38" s="161"/>
      <c r="X38" s="167"/>
      <c r="Y38" s="161"/>
      <c r="Z38" s="170"/>
      <c r="AA38" s="159">
        <f t="shared" si="0"/>
        <v>25</v>
      </c>
      <c r="AB38" s="178"/>
      <c r="AC38" s="150"/>
      <c r="AD38" s="182">
        <v>4</v>
      </c>
      <c r="AE38" s="150" t="s">
        <v>181</v>
      </c>
      <c r="AF38" s="150"/>
      <c r="AG38" s="150"/>
      <c r="AH38" s="179">
        <f>+'[7]4-E10 Jur Energy Sales'!$K$35</f>
        <v>0</v>
      </c>
      <c r="AI38" s="150"/>
      <c r="AJ38" s="180">
        <f t="shared" si="10"/>
        <v>0.98</v>
      </c>
      <c r="AK38" s="150"/>
      <c r="AL38" s="179">
        <f t="shared" si="11"/>
        <v>0</v>
      </c>
      <c r="AM38" s="150"/>
      <c r="AN38" s="179">
        <f>AL38</f>
        <v>0</v>
      </c>
      <c r="AP38" s="179">
        <v>0</v>
      </c>
      <c r="AQ38" s="179"/>
      <c r="AR38" s="150"/>
      <c r="AZ38" s="170"/>
      <c r="BA38" s="159">
        <f t="shared" si="1"/>
        <v>25</v>
      </c>
      <c r="BB38" s="178"/>
      <c r="BC38" s="150"/>
      <c r="BD38" s="182">
        <v>4</v>
      </c>
      <c r="BE38" s="150" t="s">
        <v>181</v>
      </c>
      <c r="BF38" s="150"/>
      <c r="BG38" s="150"/>
      <c r="BH38" s="179">
        <f>+'[7]3-E10 Jur Energy Sales'!$K$35</f>
        <v>0</v>
      </c>
      <c r="BI38" s="150"/>
      <c r="BJ38" s="180">
        <f t="shared" si="12"/>
        <v>0.98</v>
      </c>
      <c r="BK38" s="150"/>
      <c r="BL38" s="179">
        <f t="shared" si="13"/>
        <v>0</v>
      </c>
      <c r="BM38" s="150"/>
      <c r="BN38" s="179">
        <f>BL38</f>
        <v>0</v>
      </c>
      <c r="BP38" s="179">
        <v>0</v>
      </c>
      <c r="BQ38" s="179"/>
      <c r="BR38" s="150"/>
    </row>
    <row r="39" spans="1:70" x14ac:dyDescent="0.3">
      <c r="A39" s="159">
        <f>+A40+1</f>
        <v>27</v>
      </c>
      <c r="B39" s="178"/>
      <c r="C39" s="150"/>
      <c r="D39" s="182">
        <v>5</v>
      </c>
      <c r="E39" s="150" t="s">
        <v>166</v>
      </c>
      <c r="F39" s="150"/>
      <c r="G39" s="150"/>
      <c r="H39" s="179">
        <f>+'[7]5-E10 Jur Energy Sales'!$K$36</f>
        <v>0</v>
      </c>
      <c r="I39" s="150"/>
      <c r="J39" s="187">
        <f>+J18</f>
        <v>0.99</v>
      </c>
      <c r="K39" s="150"/>
      <c r="L39" s="179">
        <f t="shared" si="9"/>
        <v>0</v>
      </c>
      <c r="M39" s="150"/>
      <c r="N39" s="179">
        <f>L39</f>
        <v>0</v>
      </c>
      <c r="P39" s="179">
        <f>N39</f>
        <v>0</v>
      </c>
      <c r="Q39" s="179"/>
      <c r="R39" s="150"/>
      <c r="S39" s="150"/>
      <c r="T39" s="167"/>
      <c r="U39" s="161"/>
      <c r="V39" s="167"/>
      <c r="W39" s="161"/>
      <c r="X39" s="167"/>
      <c r="Y39" s="161"/>
      <c r="Z39" s="170"/>
      <c r="AA39" s="159">
        <f>+AA40+1</f>
        <v>27</v>
      </c>
      <c r="AB39" s="178"/>
      <c r="AC39" s="150"/>
      <c r="AD39" s="182">
        <v>5</v>
      </c>
      <c r="AE39" s="150" t="s">
        <v>166</v>
      </c>
      <c r="AF39" s="150"/>
      <c r="AG39" s="150"/>
      <c r="AH39" s="179">
        <f>+'[7]4-E10 Jur Energy Sales'!$K$36</f>
        <v>0</v>
      </c>
      <c r="AI39" s="150"/>
      <c r="AJ39" s="180">
        <f t="shared" si="10"/>
        <v>0.99</v>
      </c>
      <c r="AK39" s="150"/>
      <c r="AL39" s="179">
        <f t="shared" si="11"/>
        <v>0</v>
      </c>
      <c r="AM39" s="150"/>
      <c r="AN39" s="179">
        <f>AL39</f>
        <v>0</v>
      </c>
      <c r="AP39" s="179">
        <f>AN39</f>
        <v>0</v>
      </c>
      <c r="AQ39" s="179"/>
      <c r="AR39" s="150"/>
      <c r="AZ39" s="170"/>
      <c r="BA39" s="159">
        <f>+BA40+1</f>
        <v>27</v>
      </c>
      <c r="BB39" s="178"/>
      <c r="BC39" s="150"/>
      <c r="BD39" s="182">
        <v>5</v>
      </c>
      <c r="BE39" s="150" t="s">
        <v>166</v>
      </c>
      <c r="BF39" s="150"/>
      <c r="BG39" s="150"/>
      <c r="BH39" s="179">
        <f>+'[7]3-E10 Jur Energy Sales'!$K$36</f>
        <v>0</v>
      </c>
      <c r="BI39" s="150"/>
      <c r="BJ39" s="180">
        <f t="shared" si="12"/>
        <v>0.99</v>
      </c>
      <c r="BK39" s="150"/>
      <c r="BL39" s="179">
        <f t="shared" si="13"/>
        <v>0</v>
      </c>
      <c r="BM39" s="150"/>
      <c r="BN39" s="179">
        <f>BL39</f>
        <v>0</v>
      </c>
      <c r="BP39" s="179">
        <f>BN39</f>
        <v>0</v>
      </c>
      <c r="BQ39" s="179"/>
      <c r="BR39" s="150"/>
    </row>
    <row r="40" spans="1:70" x14ac:dyDescent="0.3">
      <c r="A40" s="159">
        <f>+A38+1</f>
        <v>26</v>
      </c>
      <c r="B40" s="178"/>
      <c r="C40" s="150"/>
      <c r="D40" s="182">
        <v>6</v>
      </c>
      <c r="E40" s="150" t="s">
        <v>167</v>
      </c>
      <c r="F40" s="150"/>
      <c r="G40" s="150"/>
      <c r="H40" s="179">
        <f>+'[7]5-E10 Jur Energy Sales'!$K$37</f>
        <v>374731.88119710202</v>
      </c>
      <c r="I40" s="150"/>
      <c r="J40" s="187">
        <f>+J14</f>
        <v>1</v>
      </c>
      <c r="K40" s="150"/>
      <c r="L40" s="179">
        <f t="shared" si="9"/>
        <v>374731.88119710202</v>
      </c>
      <c r="M40" s="150"/>
      <c r="N40" s="179">
        <f>L40</f>
        <v>374731.88119710202</v>
      </c>
      <c r="P40" s="179">
        <f>N40</f>
        <v>374731.88119710202</v>
      </c>
      <c r="Q40" s="179"/>
      <c r="R40" s="188"/>
      <c r="S40" s="150"/>
      <c r="T40" s="167"/>
      <c r="U40" s="167"/>
      <c r="V40" s="167"/>
      <c r="W40" s="167"/>
      <c r="X40" s="167"/>
      <c r="Y40" s="167"/>
      <c r="Z40" s="170"/>
      <c r="AA40" s="159">
        <f>+AA38+1</f>
        <v>26</v>
      </c>
      <c r="AB40" s="178"/>
      <c r="AC40" s="150"/>
      <c r="AD40" s="182">
        <v>6</v>
      </c>
      <c r="AE40" s="150" t="s">
        <v>167</v>
      </c>
      <c r="AF40" s="150"/>
      <c r="AG40" s="150"/>
      <c r="AH40" s="179">
        <f>+'[7]4-E10 Jur Energy Sales'!$K$37</f>
        <v>374160.90107359481</v>
      </c>
      <c r="AI40" s="150"/>
      <c r="AJ40" s="180">
        <f t="shared" si="10"/>
        <v>1</v>
      </c>
      <c r="AK40" s="150"/>
      <c r="AL40" s="179">
        <f t="shared" si="11"/>
        <v>374160.90107359481</v>
      </c>
      <c r="AM40" s="150"/>
      <c r="AN40" s="179">
        <f>AL40</f>
        <v>374160.90107359481</v>
      </c>
      <c r="AP40" s="179">
        <f>AN40</f>
        <v>374160.90107359481</v>
      </c>
      <c r="AQ40" s="179"/>
      <c r="AR40" s="188"/>
      <c r="AS40" s="150"/>
      <c r="AT40" s="150"/>
      <c r="AU40" s="150"/>
      <c r="AV40" s="150"/>
      <c r="AW40" s="150"/>
      <c r="AZ40" s="170"/>
      <c r="BA40" s="159">
        <f>+BA38+1</f>
        <v>26</v>
      </c>
      <c r="BB40" s="178"/>
      <c r="BC40" s="150"/>
      <c r="BD40" s="182">
        <v>6</v>
      </c>
      <c r="BE40" s="150" t="s">
        <v>167</v>
      </c>
      <c r="BF40" s="150"/>
      <c r="BG40" s="150"/>
      <c r="BH40" s="179">
        <f>+'[7]3-E10 Jur Energy Sales'!$K$37</f>
        <v>369418.6230319246</v>
      </c>
      <c r="BI40" s="150"/>
      <c r="BJ40" s="180">
        <f t="shared" si="12"/>
        <v>1</v>
      </c>
      <c r="BK40" s="150"/>
      <c r="BL40" s="179">
        <f t="shared" si="13"/>
        <v>369418.6230319246</v>
      </c>
      <c r="BM40" s="150"/>
      <c r="BN40" s="179">
        <f>BL40</f>
        <v>369418.6230319246</v>
      </c>
      <c r="BP40" s="179">
        <f>BN40</f>
        <v>369418.6230319246</v>
      </c>
      <c r="BQ40" s="179"/>
      <c r="BR40" s="188"/>
    </row>
    <row r="41" spans="1:70" x14ac:dyDescent="0.25">
      <c r="A41" s="159">
        <f>+A39+1</f>
        <v>28</v>
      </c>
      <c r="B41" s="178"/>
      <c r="C41" s="150"/>
      <c r="D41" s="150" t="s">
        <v>182</v>
      </c>
      <c r="E41" s="150"/>
      <c r="F41" s="150"/>
      <c r="G41" s="150"/>
      <c r="H41" s="190">
        <f>SUM(H35:H40)</f>
        <v>2574787.9761119238</v>
      </c>
      <c r="I41" s="150"/>
      <c r="J41" s="187"/>
      <c r="K41" s="150"/>
      <c r="L41" s="190">
        <f>SUM(L35:L40)</f>
        <v>2542959.8337559206</v>
      </c>
      <c r="M41" s="150"/>
      <c r="N41" s="190">
        <f>SUM(N35:N40)</f>
        <v>1356864.2194447194</v>
      </c>
      <c r="P41" s="190">
        <f>SUM(P35:P40)</f>
        <v>374731.88119710202</v>
      </c>
      <c r="Q41" s="179"/>
      <c r="R41" s="150"/>
      <c r="T41" s="167"/>
      <c r="U41" s="161"/>
      <c r="V41" s="167"/>
      <c r="W41" s="161"/>
      <c r="X41" s="167"/>
      <c r="Y41" s="161"/>
      <c r="Z41" s="170"/>
      <c r="AA41" s="159">
        <f>+AA39+1</f>
        <v>28</v>
      </c>
      <c r="AB41" s="178"/>
      <c r="AC41" s="150"/>
      <c r="AD41" s="150" t="s">
        <v>182</v>
      </c>
      <c r="AE41" s="150"/>
      <c r="AF41" s="150"/>
      <c r="AG41" s="150"/>
      <c r="AH41" s="190">
        <f>SUM(AH35:AH40)</f>
        <v>2570753.0742202234</v>
      </c>
      <c r="AI41" s="150"/>
      <c r="AJ41" s="187"/>
      <c r="AK41" s="150"/>
      <c r="AL41" s="190">
        <f>SUM(AL35:AL40)</f>
        <v>2538977.0130722243</v>
      </c>
      <c r="AM41" s="150"/>
      <c r="AN41" s="190">
        <f>SUM(AN35:AN40)</f>
        <v>1354875.8033095291</v>
      </c>
      <c r="AP41" s="190">
        <f>SUM(AP35:AP40)</f>
        <v>374160.90107359481</v>
      </c>
      <c r="AQ41" s="179"/>
      <c r="AR41" s="150"/>
      <c r="AZ41" s="170"/>
      <c r="BA41" s="159">
        <f>+BA39+1</f>
        <v>28</v>
      </c>
      <c r="BB41" s="178"/>
      <c r="BC41" s="150"/>
      <c r="BD41" s="150" t="s">
        <v>182</v>
      </c>
      <c r="BE41" s="150"/>
      <c r="BF41" s="150"/>
      <c r="BG41" s="150"/>
      <c r="BH41" s="190">
        <f>SUM(BH35:BH40)</f>
        <v>2537091.9335669628</v>
      </c>
      <c r="BI41" s="150"/>
      <c r="BJ41" s="187"/>
      <c r="BK41" s="150"/>
      <c r="BL41" s="190">
        <f>SUM(BL35:BL40)</f>
        <v>2505734.0846118205</v>
      </c>
      <c r="BM41" s="150"/>
      <c r="BN41" s="190">
        <f>SUM(BN35:BN40)</f>
        <v>1337167.2285533668</v>
      </c>
      <c r="BP41" s="190">
        <f>SUM(BP35:BP40)</f>
        <v>369418.6230319246</v>
      </c>
      <c r="BQ41" s="179"/>
      <c r="BR41" s="150"/>
    </row>
    <row r="42" spans="1:70" x14ac:dyDescent="0.25">
      <c r="A42" s="159">
        <f t="shared" si="2"/>
        <v>29</v>
      </c>
      <c r="B42" s="178"/>
      <c r="C42" s="150" t="s">
        <v>183</v>
      </c>
      <c r="D42" s="150" t="s">
        <v>184</v>
      </c>
      <c r="E42" s="150"/>
      <c r="F42" s="150"/>
      <c r="G42" s="150"/>
      <c r="H42" s="179"/>
      <c r="I42" s="150"/>
      <c r="J42" s="187"/>
      <c r="K42" s="150"/>
      <c r="L42" s="179"/>
      <c r="M42" s="150"/>
      <c r="N42" s="179"/>
      <c r="P42" s="179"/>
      <c r="Q42" s="179"/>
      <c r="R42" s="150"/>
      <c r="T42" s="167"/>
      <c r="U42" s="161"/>
      <c r="V42" s="167"/>
      <c r="W42" s="161"/>
      <c r="X42" s="167"/>
      <c r="Y42" s="161"/>
      <c r="Z42" s="170"/>
      <c r="AA42" s="159">
        <f t="shared" ref="AA42:AA66" si="14">+AA41+1</f>
        <v>29</v>
      </c>
      <c r="AB42" s="178"/>
      <c r="AC42" s="150" t="s">
        <v>183</v>
      </c>
      <c r="AD42" s="150" t="s">
        <v>184</v>
      </c>
      <c r="AE42" s="150"/>
      <c r="AF42" s="150"/>
      <c r="AG42" s="150"/>
      <c r="AH42" s="179"/>
      <c r="AI42" s="150"/>
      <c r="AJ42" s="187"/>
      <c r="AK42" s="150"/>
      <c r="AL42" s="179"/>
      <c r="AM42" s="150"/>
      <c r="AN42" s="179"/>
      <c r="AP42" s="179"/>
      <c r="AQ42" s="179"/>
      <c r="AR42" s="150"/>
      <c r="AZ42" s="170"/>
      <c r="BA42" s="159">
        <f t="shared" ref="BA42:BA66" si="15">+BA41+1</f>
        <v>29</v>
      </c>
      <c r="BB42" s="178"/>
      <c r="BC42" s="150" t="s">
        <v>183</v>
      </c>
      <c r="BD42" s="150" t="s">
        <v>184</v>
      </c>
      <c r="BE42" s="150"/>
      <c r="BF42" s="150"/>
      <c r="BG42" s="150"/>
      <c r="BH42" s="179"/>
      <c r="BI42" s="150"/>
      <c r="BJ42" s="187"/>
      <c r="BK42" s="150"/>
      <c r="BL42" s="179"/>
      <c r="BM42" s="150"/>
      <c r="BN42" s="179"/>
      <c r="BP42" s="179"/>
      <c r="BQ42" s="179"/>
      <c r="BR42" s="150"/>
    </row>
    <row r="43" spans="1:70" x14ac:dyDescent="0.3">
      <c r="A43" s="159">
        <f t="shared" si="2"/>
        <v>30</v>
      </c>
      <c r="B43" s="178"/>
      <c r="C43" s="150"/>
      <c r="D43" s="182">
        <v>1</v>
      </c>
      <c r="E43" s="150" t="s">
        <v>64</v>
      </c>
      <c r="F43" s="150"/>
      <c r="G43" s="150"/>
      <c r="H43" s="179">
        <f>+'[7]5-E10 Jur Energy Sales'!$K$40</f>
        <v>5695.3579479948685</v>
      </c>
      <c r="I43" s="150"/>
      <c r="J43" s="187">
        <f>J16</f>
        <v>0.98</v>
      </c>
      <c r="K43" s="150"/>
      <c r="L43" s="179">
        <f>H43*J43</f>
        <v>5581.4507890349714</v>
      </c>
      <c r="M43" s="150"/>
      <c r="N43" s="179">
        <v>0</v>
      </c>
      <c r="P43" s="179">
        <v>0</v>
      </c>
      <c r="Q43" s="179"/>
      <c r="R43" s="150"/>
      <c r="T43" s="167"/>
      <c r="U43" s="167"/>
      <c r="V43" s="167"/>
      <c r="W43" s="167"/>
      <c r="X43" s="167"/>
      <c r="Y43" s="167"/>
      <c r="Z43" s="170"/>
      <c r="AA43" s="159">
        <f t="shared" si="14"/>
        <v>30</v>
      </c>
      <c r="AB43" s="178"/>
      <c r="AC43" s="150"/>
      <c r="AD43" s="182">
        <v>1</v>
      </c>
      <c r="AE43" s="150" t="s">
        <v>64</v>
      </c>
      <c r="AF43" s="150"/>
      <c r="AG43" s="150"/>
      <c r="AH43" s="179">
        <f>+'[7]4-E10 Jur Energy Sales'!$K$40</f>
        <v>5674.4552997225883</v>
      </c>
      <c r="AI43" s="150"/>
      <c r="AJ43" s="180">
        <f t="shared" ref="AJ43:AJ45" si="16">+J43</f>
        <v>0.98</v>
      </c>
      <c r="AK43" s="150"/>
      <c r="AL43" s="179">
        <f>AH43*AJ43</f>
        <v>5560.9661937281362</v>
      </c>
      <c r="AM43" s="150"/>
      <c r="AN43" s="179">
        <v>0</v>
      </c>
      <c r="AP43" s="179">
        <v>0</v>
      </c>
      <c r="AQ43" s="179"/>
      <c r="AR43" s="150"/>
      <c r="AS43" s="150"/>
      <c r="AT43" s="150"/>
      <c r="AU43" s="150"/>
      <c r="AV43" s="150"/>
      <c r="AW43" s="150"/>
      <c r="AZ43" s="170"/>
      <c r="BA43" s="159">
        <f t="shared" si="15"/>
        <v>30</v>
      </c>
      <c r="BB43" s="178"/>
      <c r="BC43" s="150"/>
      <c r="BD43" s="182">
        <v>1</v>
      </c>
      <c r="BE43" s="150" t="s">
        <v>64</v>
      </c>
      <c r="BF43" s="150"/>
      <c r="BG43" s="150"/>
      <c r="BH43" s="179">
        <f>+'[7]3-E10 Jur Energy Sales'!$K$40</f>
        <v>5624.8551338146199</v>
      </c>
      <c r="BI43" s="150"/>
      <c r="BJ43" s="180">
        <f t="shared" ref="BJ43:BJ45" si="17">+AJ43</f>
        <v>0.98</v>
      </c>
      <c r="BK43" s="150"/>
      <c r="BL43" s="179">
        <f>BH43*BJ43</f>
        <v>5512.3580311383275</v>
      </c>
      <c r="BM43" s="150"/>
      <c r="BN43" s="179">
        <v>0</v>
      </c>
      <c r="BP43" s="179">
        <v>0</v>
      </c>
      <c r="BQ43" s="179"/>
      <c r="BR43" s="150"/>
    </row>
    <row r="44" spans="1:70" x14ac:dyDescent="0.3">
      <c r="A44" s="159">
        <f t="shared" si="2"/>
        <v>31</v>
      </c>
      <c r="B44" s="178"/>
      <c r="C44" s="150"/>
      <c r="D44" s="182">
        <v>2</v>
      </c>
      <c r="E44" s="150" t="s">
        <v>173</v>
      </c>
      <c r="F44" s="150"/>
      <c r="G44" s="150"/>
      <c r="H44" s="179">
        <f>+'[7]5-E10 Jur Energy Sales'!$K$41</f>
        <v>2901.4780331393563</v>
      </c>
      <c r="I44" s="150"/>
      <c r="J44" s="187">
        <f>J17</f>
        <v>0.99</v>
      </c>
      <c r="K44" s="150"/>
      <c r="L44" s="179">
        <f>H44*J44</f>
        <v>2872.4632528079628</v>
      </c>
      <c r="M44" s="150"/>
      <c r="N44" s="179"/>
      <c r="P44" s="179">
        <v>0</v>
      </c>
      <c r="Q44" s="179"/>
      <c r="R44" s="150"/>
      <c r="S44" s="150"/>
      <c r="T44" s="167"/>
      <c r="U44" s="161"/>
      <c r="V44" s="167"/>
      <c r="W44" s="161"/>
      <c r="X44" s="167"/>
      <c r="Y44" s="161"/>
      <c r="Z44" s="170"/>
      <c r="AA44" s="159">
        <f t="shared" si="14"/>
        <v>31</v>
      </c>
      <c r="AB44" s="178"/>
      <c r="AC44" s="150"/>
      <c r="AD44" s="182">
        <v>2</v>
      </c>
      <c r="AE44" s="150" t="s">
        <v>173</v>
      </c>
      <c r="AF44" s="150"/>
      <c r="AG44" s="150"/>
      <c r="AH44" s="179">
        <f>+'[7]4-E10 Jur Energy Sales'!$K$41</f>
        <v>2883.778614613117</v>
      </c>
      <c r="AI44" s="150"/>
      <c r="AJ44" s="180">
        <f t="shared" si="16"/>
        <v>0.99</v>
      </c>
      <c r="AK44" s="150"/>
      <c r="AL44" s="179">
        <f>AH44*AJ44</f>
        <v>2854.9408284669857</v>
      </c>
      <c r="AM44" s="150"/>
      <c r="AN44" s="179"/>
      <c r="AP44" s="179">
        <v>0</v>
      </c>
      <c r="AQ44" s="179"/>
      <c r="AR44" s="150"/>
      <c r="AZ44" s="170"/>
      <c r="BA44" s="159">
        <f t="shared" si="15"/>
        <v>31</v>
      </c>
      <c r="BB44" s="178"/>
      <c r="BC44" s="150"/>
      <c r="BD44" s="182">
        <v>2</v>
      </c>
      <c r="BE44" s="150" t="s">
        <v>173</v>
      </c>
      <c r="BF44" s="150"/>
      <c r="BG44" s="150"/>
      <c r="BH44" s="179">
        <f>+'[7]3-E10 Jur Energy Sales'!$K$41</f>
        <v>2854.0129900269039</v>
      </c>
      <c r="BI44" s="150"/>
      <c r="BJ44" s="180">
        <f t="shared" si="17"/>
        <v>0.99</v>
      </c>
      <c r="BK44" s="150"/>
      <c r="BL44" s="179">
        <f>BH44*BJ44</f>
        <v>2825.4728601266347</v>
      </c>
      <c r="BM44" s="150"/>
      <c r="BN44" s="179"/>
      <c r="BP44" s="179">
        <v>0</v>
      </c>
      <c r="BQ44" s="179"/>
      <c r="BR44" s="150"/>
    </row>
    <row r="45" spans="1:70" x14ac:dyDescent="0.3">
      <c r="A45" s="159">
        <f t="shared" si="2"/>
        <v>32</v>
      </c>
      <c r="B45" s="178"/>
      <c r="C45" s="150"/>
      <c r="D45" s="182">
        <v>3</v>
      </c>
      <c r="E45" s="150" t="s">
        <v>165</v>
      </c>
      <c r="F45" s="150"/>
      <c r="G45" s="150"/>
      <c r="H45" s="179">
        <f>+'[7]5-E10 Jur Energy Sales'!$K$42</f>
        <v>56393.757527096343</v>
      </c>
      <c r="I45" s="150"/>
      <c r="J45" s="187">
        <f>J17</f>
        <v>0.99</v>
      </c>
      <c r="K45" s="150"/>
      <c r="L45" s="179">
        <f>H45*J45</f>
        <v>55829.819951825375</v>
      </c>
      <c r="M45" s="150"/>
      <c r="N45" s="179">
        <f>L45</f>
        <v>55829.819951825375</v>
      </c>
      <c r="P45" s="179">
        <v>0</v>
      </c>
      <c r="Q45" s="179"/>
      <c r="R45" s="150"/>
      <c r="S45" s="150"/>
      <c r="T45" s="167"/>
      <c r="U45" s="167"/>
      <c r="V45" s="167"/>
      <c r="W45" s="167"/>
      <c r="X45" s="167"/>
      <c r="Y45" s="167"/>
      <c r="Z45" s="170"/>
      <c r="AA45" s="159">
        <f t="shared" si="14"/>
        <v>32</v>
      </c>
      <c r="AB45" s="178"/>
      <c r="AC45" s="150"/>
      <c r="AD45" s="182">
        <v>3</v>
      </c>
      <c r="AE45" s="150" t="s">
        <v>165</v>
      </c>
      <c r="AF45" s="150"/>
      <c r="AG45" s="150"/>
      <c r="AH45" s="179">
        <f>+'[7]4-E10 Jur Energy Sales'!$K$42</f>
        <v>55967.088711695913</v>
      </c>
      <c r="AI45" s="150"/>
      <c r="AJ45" s="180">
        <f t="shared" si="16"/>
        <v>0.99</v>
      </c>
      <c r="AK45" s="150"/>
      <c r="AL45" s="179">
        <f>AH45*AJ45</f>
        <v>55407.417824578952</v>
      </c>
      <c r="AM45" s="150"/>
      <c r="AN45" s="179">
        <f>AL45</f>
        <v>55407.417824578952</v>
      </c>
      <c r="AP45" s="179">
        <v>0</v>
      </c>
      <c r="AQ45" s="179"/>
      <c r="AR45" s="150"/>
      <c r="AS45" s="150"/>
      <c r="AT45" s="150"/>
      <c r="AU45" s="150"/>
      <c r="AV45" s="150"/>
      <c r="AW45" s="150"/>
      <c r="AZ45" s="170"/>
      <c r="BA45" s="159">
        <f t="shared" si="15"/>
        <v>32</v>
      </c>
      <c r="BB45" s="178"/>
      <c r="BC45" s="150"/>
      <c r="BD45" s="182">
        <v>3</v>
      </c>
      <c r="BE45" s="150" t="s">
        <v>165</v>
      </c>
      <c r="BF45" s="150"/>
      <c r="BG45" s="150"/>
      <c r="BH45" s="179">
        <f>+'[7]3-E10 Jur Energy Sales'!$K$42</f>
        <v>55530.619386193626</v>
      </c>
      <c r="BI45" s="150"/>
      <c r="BJ45" s="180">
        <f t="shared" si="17"/>
        <v>0.99</v>
      </c>
      <c r="BK45" s="150"/>
      <c r="BL45" s="179">
        <f>BH45*BJ45</f>
        <v>54975.313192331691</v>
      </c>
      <c r="BM45" s="150"/>
      <c r="BN45" s="179">
        <f>BL45</f>
        <v>54975.313192331691</v>
      </c>
      <c r="BP45" s="179">
        <v>0</v>
      </c>
      <c r="BQ45" s="179"/>
      <c r="BR45" s="150"/>
    </row>
    <row r="46" spans="1:70" x14ac:dyDescent="0.25">
      <c r="A46" s="159">
        <f t="shared" si="2"/>
        <v>33</v>
      </c>
      <c r="B46" s="178"/>
      <c r="C46" s="150"/>
      <c r="D46" s="150" t="s">
        <v>185</v>
      </c>
      <c r="E46" s="150"/>
      <c r="F46" s="150"/>
      <c r="G46" s="150"/>
      <c r="H46" s="190">
        <f>SUM(H43:H45)</f>
        <v>64990.593508230566</v>
      </c>
      <c r="I46" s="150"/>
      <c r="J46" s="187"/>
      <c r="K46" s="150"/>
      <c r="L46" s="190">
        <f>SUM(L43:L45)</f>
        <v>64283.733993668313</v>
      </c>
      <c r="M46" s="150"/>
      <c r="N46" s="190">
        <f>SUM(N43:N45)</f>
        <v>55829.819951825375</v>
      </c>
      <c r="P46" s="190">
        <f>SUM(P43:P45)</f>
        <v>0</v>
      </c>
      <c r="Q46" s="179"/>
      <c r="R46" s="188"/>
      <c r="S46" s="150"/>
      <c r="T46" s="167"/>
      <c r="U46" s="167"/>
      <c r="V46" s="167"/>
      <c r="W46" s="167"/>
      <c r="X46" s="167"/>
      <c r="Y46" s="167"/>
      <c r="Z46" s="170"/>
      <c r="AA46" s="159">
        <f t="shared" si="14"/>
        <v>33</v>
      </c>
      <c r="AB46" s="178"/>
      <c r="AC46" s="150"/>
      <c r="AD46" s="150" t="s">
        <v>185</v>
      </c>
      <c r="AE46" s="150"/>
      <c r="AF46" s="150"/>
      <c r="AG46" s="150"/>
      <c r="AH46" s="190">
        <f>SUM(AH43:AH45)</f>
        <v>64525.322626031615</v>
      </c>
      <c r="AI46" s="150"/>
      <c r="AJ46" s="187"/>
      <c r="AK46" s="150"/>
      <c r="AL46" s="190">
        <f>SUM(AL43:AL45)</f>
        <v>63823.324846774078</v>
      </c>
      <c r="AM46" s="150"/>
      <c r="AN46" s="190">
        <f>SUM(AN43:AN45)</f>
        <v>55407.417824578952</v>
      </c>
      <c r="AP46" s="190">
        <f>SUM(AP43:AP45)</f>
        <v>0</v>
      </c>
      <c r="AQ46" s="179"/>
      <c r="AR46" s="188"/>
      <c r="AS46" s="150"/>
      <c r="AT46" s="150"/>
      <c r="AU46" s="150"/>
      <c r="AV46" s="150"/>
      <c r="AW46" s="150"/>
      <c r="AZ46" s="170"/>
      <c r="BA46" s="159">
        <f t="shared" si="15"/>
        <v>33</v>
      </c>
      <c r="BB46" s="178"/>
      <c r="BC46" s="150"/>
      <c r="BD46" s="150" t="s">
        <v>185</v>
      </c>
      <c r="BE46" s="150"/>
      <c r="BF46" s="150"/>
      <c r="BG46" s="150"/>
      <c r="BH46" s="190">
        <f>SUM(BH43:BH45)</f>
        <v>64009.487510035149</v>
      </c>
      <c r="BI46" s="150"/>
      <c r="BJ46" s="187"/>
      <c r="BK46" s="150"/>
      <c r="BL46" s="190">
        <f>SUM(BL43:BL45)</f>
        <v>63313.14408359665</v>
      </c>
      <c r="BM46" s="150"/>
      <c r="BN46" s="190">
        <f>SUM(BN43:BN45)</f>
        <v>54975.313192331691</v>
      </c>
      <c r="BP46" s="190">
        <f>SUM(BP43:BP45)</f>
        <v>0</v>
      </c>
      <c r="BQ46" s="179"/>
      <c r="BR46" s="188"/>
    </row>
    <row r="47" spans="1:70" x14ac:dyDescent="0.25">
      <c r="A47" s="159">
        <f t="shared" si="2"/>
        <v>34</v>
      </c>
      <c r="B47" s="178"/>
      <c r="C47" s="150" t="s">
        <v>186</v>
      </c>
      <c r="D47" s="150" t="s">
        <v>187</v>
      </c>
      <c r="E47" s="150"/>
      <c r="F47" s="150"/>
      <c r="G47" s="150"/>
      <c r="H47" s="179"/>
      <c r="I47" s="150"/>
      <c r="J47" s="187"/>
      <c r="K47" s="150"/>
      <c r="L47" s="179"/>
      <c r="M47" s="150"/>
      <c r="N47" s="179"/>
      <c r="P47" s="179"/>
      <c r="Q47" s="179"/>
      <c r="R47" s="150"/>
      <c r="S47" s="150"/>
      <c r="T47" s="167"/>
      <c r="U47" s="167"/>
      <c r="V47" s="167"/>
      <c r="W47" s="167"/>
      <c r="X47" s="167"/>
      <c r="Y47" s="167"/>
      <c r="Z47" s="170"/>
      <c r="AA47" s="159">
        <f t="shared" si="14"/>
        <v>34</v>
      </c>
      <c r="AB47" s="178"/>
      <c r="AC47" s="150" t="s">
        <v>186</v>
      </c>
      <c r="AD47" s="150" t="s">
        <v>187</v>
      </c>
      <c r="AE47" s="150"/>
      <c r="AF47" s="150"/>
      <c r="AG47" s="150"/>
      <c r="AH47" s="179"/>
      <c r="AI47" s="150"/>
      <c r="AJ47" s="187"/>
      <c r="AK47" s="150"/>
      <c r="AL47" s="179"/>
      <c r="AM47" s="150"/>
      <c r="AN47" s="179"/>
      <c r="AP47" s="179"/>
      <c r="AQ47" s="179"/>
      <c r="AR47" s="150"/>
      <c r="AS47" s="150"/>
      <c r="AT47" s="150"/>
      <c r="AU47" s="150"/>
      <c r="AV47" s="150"/>
      <c r="AW47" s="150"/>
      <c r="AZ47" s="170"/>
      <c r="BA47" s="159">
        <f t="shared" si="15"/>
        <v>34</v>
      </c>
      <c r="BB47" s="178"/>
      <c r="BC47" s="150" t="s">
        <v>186</v>
      </c>
      <c r="BD47" s="150" t="s">
        <v>187</v>
      </c>
      <c r="BE47" s="150"/>
      <c r="BF47" s="150"/>
      <c r="BG47" s="150"/>
      <c r="BH47" s="179"/>
      <c r="BI47" s="150"/>
      <c r="BJ47" s="187"/>
      <c r="BK47" s="150"/>
      <c r="BL47" s="179"/>
      <c r="BM47" s="150"/>
      <c r="BN47" s="179"/>
      <c r="BP47" s="179"/>
      <c r="BQ47" s="179"/>
      <c r="BR47" s="150"/>
    </row>
    <row r="48" spans="1:70" x14ac:dyDescent="0.3">
      <c r="A48" s="159">
        <f t="shared" si="2"/>
        <v>35</v>
      </c>
      <c r="B48" s="178"/>
      <c r="C48" s="150"/>
      <c r="D48" s="182">
        <v>1</v>
      </c>
      <c r="E48" s="150" t="s">
        <v>64</v>
      </c>
      <c r="F48" s="150"/>
      <c r="G48" s="150"/>
      <c r="H48" s="179">
        <f>+'[7]5-E10 Jur Energy Sales'!$K$44</f>
        <v>2300.3275984433189</v>
      </c>
      <c r="I48" s="150"/>
      <c r="J48" s="187">
        <f>J16</f>
        <v>0.98</v>
      </c>
      <c r="K48" s="150"/>
      <c r="L48" s="179">
        <f>H48*J48</f>
        <v>2254.3210464744525</v>
      </c>
      <c r="M48" s="150"/>
      <c r="N48" s="179">
        <v>0</v>
      </c>
      <c r="P48" s="179">
        <v>0</v>
      </c>
      <c r="Q48" s="179"/>
      <c r="R48" s="150"/>
      <c r="S48" s="150"/>
      <c r="T48" s="167"/>
      <c r="U48" s="161"/>
      <c r="V48" s="167"/>
      <c r="W48" s="161"/>
      <c r="X48" s="167"/>
      <c r="Y48" s="161"/>
      <c r="Z48" s="170"/>
      <c r="AA48" s="159">
        <f t="shared" si="14"/>
        <v>35</v>
      </c>
      <c r="AB48" s="178"/>
      <c r="AC48" s="150"/>
      <c r="AD48" s="182">
        <v>1</v>
      </c>
      <c r="AE48" s="150" t="s">
        <v>64</v>
      </c>
      <c r="AF48" s="150"/>
      <c r="AG48" s="150"/>
      <c r="AH48" s="179">
        <f>+'[7]4-E10 Jur Energy Sales'!$K$44</f>
        <v>2295.9171680665681</v>
      </c>
      <c r="AI48" s="150"/>
      <c r="AJ48" s="180">
        <f t="shared" ref="AJ48:AJ50" si="18">+J48</f>
        <v>0.98</v>
      </c>
      <c r="AK48" s="150"/>
      <c r="AL48" s="179">
        <f>AH48*AJ48</f>
        <v>2249.9988247052365</v>
      </c>
      <c r="AM48" s="150"/>
      <c r="AN48" s="179">
        <v>0</v>
      </c>
      <c r="AP48" s="179">
        <v>0</v>
      </c>
      <c r="AQ48" s="179"/>
      <c r="AR48" s="150"/>
      <c r="AZ48" s="170"/>
      <c r="BA48" s="159">
        <f t="shared" si="15"/>
        <v>35</v>
      </c>
      <c r="BB48" s="178"/>
      <c r="BC48" s="150"/>
      <c r="BD48" s="182">
        <v>1</v>
      </c>
      <c r="BE48" s="150" t="s">
        <v>64</v>
      </c>
      <c r="BF48" s="150"/>
      <c r="BG48" s="150"/>
      <c r="BH48" s="179">
        <f>+'[7]3-E10 Jur Energy Sales'!$K$44</f>
        <v>2271.5790033476592</v>
      </c>
      <c r="BI48" s="150"/>
      <c r="BJ48" s="180">
        <f t="shared" ref="BJ48:BJ50" si="19">+AJ48</f>
        <v>0.98</v>
      </c>
      <c r="BK48" s="150"/>
      <c r="BL48" s="179">
        <f>BH48*BJ48</f>
        <v>2226.1474232807059</v>
      </c>
      <c r="BM48" s="150"/>
      <c r="BN48" s="179">
        <v>0</v>
      </c>
      <c r="BP48" s="179">
        <v>0</v>
      </c>
      <c r="BQ48" s="179"/>
      <c r="BR48" s="150"/>
    </row>
    <row r="49" spans="1:70" x14ac:dyDescent="0.3">
      <c r="A49" s="159">
        <f t="shared" si="2"/>
        <v>36</v>
      </c>
      <c r="B49" s="178"/>
      <c r="C49" s="150"/>
      <c r="D49" s="182">
        <v>2</v>
      </c>
      <c r="E49" s="150" t="s">
        <v>173</v>
      </c>
      <c r="F49" s="150"/>
      <c r="G49" s="150"/>
      <c r="H49" s="179">
        <f>+'[7]5-E10 Jur Energy Sales'!$K$45</f>
        <v>43525.893880855736</v>
      </c>
      <c r="I49" s="150"/>
      <c r="J49" s="187">
        <f>J17</f>
        <v>0.99</v>
      </c>
      <c r="K49" s="150"/>
      <c r="L49" s="179">
        <f>H49*J49</f>
        <v>43090.634942047182</v>
      </c>
      <c r="M49" s="150"/>
      <c r="N49" s="179"/>
      <c r="P49" s="179">
        <v>0</v>
      </c>
      <c r="Q49" s="179"/>
      <c r="R49" s="150"/>
      <c r="S49" s="150"/>
      <c r="T49" s="167"/>
      <c r="U49" s="167"/>
      <c r="V49" s="167"/>
      <c r="W49" s="167"/>
      <c r="X49" s="167"/>
      <c r="Y49" s="167"/>
      <c r="Z49" s="170"/>
      <c r="AA49" s="159">
        <f t="shared" si="14"/>
        <v>36</v>
      </c>
      <c r="AB49" s="178"/>
      <c r="AC49" s="150"/>
      <c r="AD49" s="182">
        <v>2</v>
      </c>
      <c r="AE49" s="150" t="s">
        <v>173</v>
      </c>
      <c r="AF49" s="150"/>
      <c r="AG49" s="150"/>
      <c r="AH49" s="179">
        <f>+'[7]4-E10 Jur Energy Sales'!$K$45</f>
        <v>43451.215508289672</v>
      </c>
      <c r="AI49" s="150"/>
      <c r="AJ49" s="180">
        <f t="shared" si="18"/>
        <v>0.99</v>
      </c>
      <c r="AK49" s="150"/>
      <c r="AL49" s="179">
        <f>AH49*AJ49</f>
        <v>43016.703353206773</v>
      </c>
      <c r="AM49" s="150"/>
      <c r="AN49" s="179"/>
      <c r="AP49" s="179">
        <v>0</v>
      </c>
      <c r="AQ49" s="179"/>
      <c r="AR49" s="150"/>
      <c r="AS49" s="150"/>
      <c r="AT49" s="150"/>
      <c r="AU49" s="150"/>
      <c r="AV49" s="150"/>
      <c r="AW49" s="150"/>
      <c r="AZ49" s="170"/>
      <c r="BA49" s="159">
        <f t="shared" si="15"/>
        <v>36</v>
      </c>
      <c r="BB49" s="178"/>
      <c r="BC49" s="150"/>
      <c r="BD49" s="182">
        <v>2</v>
      </c>
      <c r="BE49" s="150" t="s">
        <v>173</v>
      </c>
      <c r="BF49" s="150"/>
      <c r="BG49" s="150"/>
      <c r="BH49" s="179">
        <f>+'[7]3-E10 Jur Energy Sales'!$K$45</f>
        <v>42745.060712045437</v>
      </c>
      <c r="BI49" s="150"/>
      <c r="BJ49" s="180">
        <f t="shared" si="19"/>
        <v>0.99</v>
      </c>
      <c r="BK49" s="150"/>
      <c r="BL49" s="179">
        <f>BH49*BJ49</f>
        <v>42317.610104924985</v>
      </c>
      <c r="BM49" s="150"/>
      <c r="BN49" s="179"/>
      <c r="BP49" s="179">
        <v>0</v>
      </c>
      <c r="BQ49" s="179"/>
      <c r="BR49" s="150"/>
    </row>
    <row r="50" spans="1:70" x14ac:dyDescent="0.3">
      <c r="A50" s="159">
        <f t="shared" si="2"/>
        <v>37</v>
      </c>
      <c r="B50" s="178"/>
      <c r="C50" s="150"/>
      <c r="D50" s="182">
        <v>3</v>
      </c>
      <c r="E50" s="150" t="s">
        <v>165</v>
      </c>
      <c r="F50" s="150"/>
      <c r="G50" s="150"/>
      <c r="H50" s="179">
        <f>+'[7]5-E10 Jur Energy Sales'!$K$46</f>
        <v>9846.3842047635553</v>
      </c>
      <c r="I50" s="150"/>
      <c r="J50" s="187">
        <f>J17</f>
        <v>0.99</v>
      </c>
      <c r="K50" s="150"/>
      <c r="L50" s="179">
        <f>H50*J50</f>
        <v>9747.9203627159204</v>
      </c>
      <c r="M50" s="150"/>
      <c r="N50" s="179">
        <f>L50</f>
        <v>9747.9203627159204</v>
      </c>
      <c r="P50" s="179">
        <v>0</v>
      </c>
      <c r="Q50" s="179"/>
      <c r="R50" s="150"/>
      <c r="S50" s="150"/>
      <c r="T50" s="167"/>
      <c r="U50" s="161"/>
      <c r="V50" s="167"/>
      <c r="W50" s="161"/>
      <c r="X50" s="167"/>
      <c r="Y50" s="161"/>
      <c r="Z50" s="170"/>
      <c r="AA50" s="159">
        <f t="shared" si="14"/>
        <v>37</v>
      </c>
      <c r="AB50" s="178"/>
      <c r="AC50" s="150"/>
      <c r="AD50" s="182">
        <v>3</v>
      </c>
      <c r="AE50" s="150" t="s">
        <v>165</v>
      </c>
      <c r="AF50" s="150"/>
      <c r="AG50" s="150"/>
      <c r="AH50" s="179">
        <f>+'[7]4-E10 Jur Energy Sales'!$K$46</f>
        <v>9826.0669924614049</v>
      </c>
      <c r="AI50" s="150"/>
      <c r="AJ50" s="180">
        <f t="shared" si="18"/>
        <v>0.99</v>
      </c>
      <c r="AK50" s="150"/>
      <c r="AL50" s="179">
        <f>AH50*AJ50</f>
        <v>9727.8063225367914</v>
      </c>
      <c r="AM50" s="150"/>
      <c r="AN50" s="179">
        <f>AL50</f>
        <v>9727.8063225367914</v>
      </c>
      <c r="AP50" s="179">
        <v>0</v>
      </c>
      <c r="AQ50" s="179"/>
      <c r="AR50" s="150"/>
      <c r="AZ50" s="170"/>
      <c r="BA50" s="159">
        <f t="shared" si="15"/>
        <v>37</v>
      </c>
      <c r="BB50" s="178"/>
      <c r="BC50" s="150"/>
      <c r="BD50" s="182">
        <v>3</v>
      </c>
      <c r="BE50" s="150" t="s">
        <v>165</v>
      </c>
      <c r="BF50" s="150"/>
      <c r="BG50" s="150"/>
      <c r="BH50" s="179">
        <f>+'[7]3-E10 Jur Energy Sales'!$K$46</f>
        <v>9695.8997464055174</v>
      </c>
      <c r="BI50" s="150"/>
      <c r="BJ50" s="180">
        <f t="shared" si="19"/>
        <v>0.99</v>
      </c>
      <c r="BK50" s="150"/>
      <c r="BL50" s="179">
        <f>BH50*BJ50</f>
        <v>9598.9407489414625</v>
      </c>
      <c r="BM50" s="150"/>
      <c r="BN50" s="179">
        <f>BL50</f>
        <v>9598.9407489414625</v>
      </c>
      <c r="BP50" s="179">
        <v>0</v>
      </c>
      <c r="BQ50" s="179"/>
      <c r="BR50" s="150"/>
    </row>
    <row r="51" spans="1:70" x14ac:dyDescent="0.25">
      <c r="A51" s="159">
        <f t="shared" si="2"/>
        <v>38</v>
      </c>
      <c r="B51" s="178"/>
      <c r="C51" s="150"/>
      <c r="D51" s="150" t="s">
        <v>188</v>
      </c>
      <c r="E51" s="150"/>
      <c r="F51" s="150"/>
      <c r="G51" s="150"/>
      <c r="H51" s="190">
        <f>SUM(H48:H50)</f>
        <v>55672.605684062612</v>
      </c>
      <c r="I51" s="150"/>
      <c r="J51" s="187"/>
      <c r="K51" s="150"/>
      <c r="L51" s="190">
        <f>SUM(L48:L50)</f>
        <v>55092.876351237559</v>
      </c>
      <c r="M51" s="150"/>
      <c r="N51" s="190">
        <f>SUM(N48:N50)</f>
        <v>9747.9203627159204</v>
      </c>
      <c r="P51" s="190">
        <f>SUM(P48:P50)</f>
        <v>0</v>
      </c>
      <c r="Q51" s="179"/>
      <c r="R51" s="188"/>
      <c r="S51" s="150"/>
      <c r="T51" s="167"/>
      <c r="U51" s="161"/>
      <c r="V51" s="167"/>
      <c r="W51" s="161"/>
      <c r="X51" s="167"/>
      <c r="Y51" s="161"/>
      <c r="Z51" s="170"/>
      <c r="AA51" s="159">
        <f t="shared" si="14"/>
        <v>38</v>
      </c>
      <c r="AB51" s="178"/>
      <c r="AC51" s="150"/>
      <c r="AD51" s="150" t="s">
        <v>188</v>
      </c>
      <c r="AE51" s="150"/>
      <c r="AF51" s="150"/>
      <c r="AG51" s="150"/>
      <c r="AH51" s="190">
        <f>SUM(AH48:AH50)</f>
        <v>55573.199668817644</v>
      </c>
      <c r="AI51" s="150"/>
      <c r="AJ51" s="187"/>
      <c r="AK51" s="150"/>
      <c r="AL51" s="190">
        <f>SUM(AL48:AL50)</f>
        <v>54994.508500448806</v>
      </c>
      <c r="AM51" s="150"/>
      <c r="AN51" s="190">
        <f>SUM(AN48:AN50)</f>
        <v>9727.8063225367914</v>
      </c>
      <c r="AP51" s="190">
        <f>SUM(AP48:AP50)</f>
        <v>0</v>
      </c>
      <c r="AQ51" s="179"/>
      <c r="AR51" s="188"/>
      <c r="AZ51" s="170"/>
      <c r="BA51" s="159">
        <f t="shared" si="15"/>
        <v>38</v>
      </c>
      <c r="BB51" s="178"/>
      <c r="BC51" s="150"/>
      <c r="BD51" s="150" t="s">
        <v>188</v>
      </c>
      <c r="BE51" s="150"/>
      <c r="BF51" s="150"/>
      <c r="BG51" s="150"/>
      <c r="BH51" s="190">
        <f>SUM(BH48:BH50)</f>
        <v>54712.539461798617</v>
      </c>
      <c r="BI51" s="150"/>
      <c r="BJ51" s="187"/>
      <c r="BK51" s="150"/>
      <c r="BL51" s="190">
        <f>SUM(BL48:BL50)</f>
        <v>54142.698277147152</v>
      </c>
      <c r="BM51" s="150"/>
      <c r="BN51" s="190">
        <f>SUM(BN48:BN50)</f>
        <v>9598.9407489414625</v>
      </c>
      <c r="BP51" s="190">
        <f>SUM(BP48:BP50)</f>
        <v>0</v>
      </c>
      <c r="BQ51" s="179"/>
      <c r="BR51" s="188"/>
    </row>
    <row r="52" spans="1:70" x14ac:dyDescent="0.25">
      <c r="A52" s="159">
        <f t="shared" si="2"/>
        <v>39</v>
      </c>
      <c r="B52" s="178"/>
      <c r="C52" s="150" t="s">
        <v>189</v>
      </c>
      <c r="D52" s="150" t="s">
        <v>190</v>
      </c>
      <c r="E52" s="150"/>
      <c r="F52" s="150"/>
      <c r="G52" s="150"/>
      <c r="H52" s="179"/>
      <c r="I52" s="150"/>
      <c r="J52" s="187"/>
      <c r="K52" s="150"/>
      <c r="L52" s="179"/>
      <c r="M52" s="150"/>
      <c r="N52" s="179"/>
      <c r="O52" s="191"/>
      <c r="P52" s="179"/>
      <c r="Q52" s="179"/>
      <c r="R52" s="150"/>
      <c r="S52" s="150"/>
      <c r="T52" s="167"/>
      <c r="U52" s="161"/>
      <c r="V52" s="167"/>
      <c r="W52" s="161"/>
      <c r="X52" s="167"/>
      <c r="Y52" s="161"/>
      <c r="Z52" s="170"/>
      <c r="AA52" s="159">
        <f t="shared" si="14"/>
        <v>39</v>
      </c>
      <c r="AB52" s="178"/>
      <c r="AC52" s="150" t="s">
        <v>189</v>
      </c>
      <c r="AD52" s="150" t="s">
        <v>190</v>
      </c>
      <c r="AE52" s="150"/>
      <c r="AF52" s="150"/>
      <c r="AG52" s="150"/>
      <c r="AH52" s="179"/>
      <c r="AI52" s="150"/>
      <c r="AJ52" s="187"/>
      <c r="AK52" s="150"/>
      <c r="AL52" s="179"/>
      <c r="AM52" s="150"/>
      <c r="AN52" s="179"/>
      <c r="AO52" s="191"/>
      <c r="AP52" s="179"/>
      <c r="AQ52" s="179"/>
      <c r="AR52" s="150"/>
      <c r="AZ52" s="170"/>
      <c r="BA52" s="159">
        <f t="shared" si="15"/>
        <v>39</v>
      </c>
      <c r="BB52" s="178"/>
      <c r="BC52" s="150" t="s">
        <v>189</v>
      </c>
      <c r="BD52" s="150" t="s">
        <v>190</v>
      </c>
      <c r="BE52" s="150"/>
      <c r="BF52" s="150"/>
      <c r="BG52" s="150"/>
      <c r="BH52" s="179"/>
      <c r="BI52" s="150"/>
      <c r="BJ52" s="187"/>
      <c r="BK52" s="150"/>
      <c r="BL52" s="179"/>
      <c r="BM52" s="150"/>
      <c r="BN52" s="179"/>
      <c r="BO52" s="191"/>
      <c r="BP52" s="179"/>
      <c r="BQ52" s="179"/>
      <c r="BR52" s="150"/>
    </row>
    <row r="53" spans="1:70" x14ac:dyDescent="0.3">
      <c r="A53" s="159">
        <f t="shared" si="2"/>
        <v>40</v>
      </c>
      <c r="B53" s="178"/>
      <c r="C53" s="150"/>
      <c r="D53" s="182">
        <v>1</v>
      </c>
      <c r="E53" s="150" t="s">
        <v>64</v>
      </c>
      <c r="F53" s="150"/>
      <c r="G53" s="150"/>
      <c r="H53" s="179">
        <f>+'[7]5-E10 Jur Energy Sales'!$K$48</f>
        <v>0</v>
      </c>
      <c r="I53" s="150"/>
      <c r="J53" s="187">
        <f>J16</f>
        <v>0.98</v>
      </c>
      <c r="K53" s="150"/>
      <c r="L53" s="179">
        <f>H53*J53</f>
        <v>0</v>
      </c>
      <c r="M53" s="150"/>
      <c r="N53" s="179">
        <v>0</v>
      </c>
      <c r="O53" s="191"/>
      <c r="P53" s="179">
        <v>0</v>
      </c>
      <c r="Q53" s="179"/>
      <c r="R53" s="150"/>
      <c r="S53" s="150"/>
      <c r="T53" s="167"/>
      <c r="U53" s="167"/>
      <c r="V53" s="167"/>
      <c r="W53" s="167"/>
      <c r="X53" s="167"/>
      <c r="Y53" s="167"/>
      <c r="Z53" s="170"/>
      <c r="AA53" s="159">
        <f t="shared" si="14"/>
        <v>40</v>
      </c>
      <c r="AB53" s="178"/>
      <c r="AC53" s="150"/>
      <c r="AD53" s="182">
        <v>1</v>
      </c>
      <c r="AE53" s="150" t="s">
        <v>64</v>
      </c>
      <c r="AF53" s="150"/>
      <c r="AG53" s="150"/>
      <c r="AH53" s="179">
        <f>+'[7]4-E10 Jur Energy Sales'!$K$48</f>
        <v>0</v>
      </c>
      <c r="AI53" s="150"/>
      <c r="AJ53" s="180">
        <f t="shared" ref="AJ53:AJ54" si="20">+J53</f>
        <v>0.98</v>
      </c>
      <c r="AK53" s="150"/>
      <c r="AL53" s="179">
        <f>AH53*AJ53</f>
        <v>0</v>
      </c>
      <c r="AM53" s="150"/>
      <c r="AN53" s="179">
        <v>0</v>
      </c>
      <c r="AO53" s="191"/>
      <c r="AP53" s="179">
        <v>0</v>
      </c>
      <c r="AQ53" s="179"/>
      <c r="AR53" s="150"/>
      <c r="AS53" s="150"/>
      <c r="AT53" s="150"/>
      <c r="AU53" s="150"/>
      <c r="AV53" s="150"/>
      <c r="AW53" s="150"/>
      <c r="AZ53" s="170"/>
      <c r="BA53" s="159">
        <f t="shared" si="15"/>
        <v>40</v>
      </c>
      <c r="BB53" s="178"/>
      <c r="BC53" s="150"/>
      <c r="BD53" s="182">
        <v>1</v>
      </c>
      <c r="BE53" s="150" t="s">
        <v>64</v>
      </c>
      <c r="BF53" s="150"/>
      <c r="BG53" s="150"/>
      <c r="BH53" s="179">
        <f>+'[7]3-E10 Jur Energy Sales'!$K$48</f>
        <v>0</v>
      </c>
      <c r="BI53" s="150"/>
      <c r="BJ53" s="180">
        <f t="shared" ref="BJ53:BJ54" si="21">+AJ53</f>
        <v>0.98</v>
      </c>
      <c r="BK53" s="150"/>
      <c r="BL53" s="179">
        <f>BH53*BJ53</f>
        <v>0</v>
      </c>
      <c r="BM53" s="150"/>
      <c r="BN53" s="179">
        <v>0</v>
      </c>
      <c r="BO53" s="191"/>
      <c r="BP53" s="179">
        <v>0</v>
      </c>
      <c r="BQ53" s="179"/>
      <c r="BR53" s="150"/>
    </row>
    <row r="54" spans="1:70" x14ac:dyDescent="0.3">
      <c r="A54" s="159">
        <f t="shared" si="2"/>
        <v>41</v>
      </c>
      <c r="B54" s="178"/>
      <c r="C54" s="150"/>
      <c r="D54" s="182">
        <v>2</v>
      </c>
      <c r="E54" s="150" t="s">
        <v>165</v>
      </c>
      <c r="F54" s="150"/>
      <c r="G54" s="150"/>
      <c r="H54" s="179">
        <f>+'[7]5-E10 Jur Energy Sales'!$K$49</f>
        <v>142871.08386628859</v>
      </c>
      <c r="I54" s="150"/>
      <c r="J54" s="187">
        <f>J17</f>
        <v>0.99</v>
      </c>
      <c r="K54" s="150"/>
      <c r="L54" s="179">
        <f>H54*J54</f>
        <v>141442.3730276257</v>
      </c>
      <c r="M54" s="150"/>
      <c r="N54" s="179">
        <f>L54</f>
        <v>141442.3730276257</v>
      </c>
      <c r="P54" s="179">
        <v>0</v>
      </c>
      <c r="Q54" s="179"/>
      <c r="R54" s="150"/>
      <c r="S54" s="150"/>
      <c r="T54" s="167"/>
      <c r="U54" s="161"/>
      <c r="V54" s="167"/>
      <c r="W54" s="161"/>
      <c r="X54" s="167"/>
      <c r="Y54" s="161"/>
      <c r="Z54" s="170"/>
      <c r="AA54" s="159">
        <f t="shared" si="14"/>
        <v>41</v>
      </c>
      <c r="AB54" s="178"/>
      <c r="AC54" s="150"/>
      <c r="AD54" s="182">
        <v>2</v>
      </c>
      <c r="AE54" s="150" t="s">
        <v>165</v>
      </c>
      <c r="AF54" s="150"/>
      <c r="AG54" s="150"/>
      <c r="AH54" s="179">
        <f>+'[7]4-E10 Jur Energy Sales'!$K$49</f>
        <v>142705.76625712184</v>
      </c>
      <c r="AI54" s="150"/>
      <c r="AJ54" s="180">
        <f t="shared" si="20"/>
        <v>0.99</v>
      </c>
      <c r="AK54" s="150"/>
      <c r="AL54" s="179">
        <f>AH54*AJ54</f>
        <v>141278.70859455061</v>
      </c>
      <c r="AM54" s="150"/>
      <c r="AN54" s="179">
        <f>AL54</f>
        <v>141278.70859455061</v>
      </c>
      <c r="AP54" s="179">
        <v>0</v>
      </c>
      <c r="AQ54" s="179"/>
      <c r="AR54" s="150"/>
      <c r="AZ54" s="170"/>
      <c r="BA54" s="159">
        <f t="shared" si="15"/>
        <v>41</v>
      </c>
      <c r="BB54" s="178"/>
      <c r="BC54" s="150"/>
      <c r="BD54" s="182">
        <v>2</v>
      </c>
      <c r="BE54" s="150" t="s">
        <v>165</v>
      </c>
      <c r="BF54" s="150"/>
      <c r="BG54" s="150"/>
      <c r="BH54" s="179">
        <f>+'[7]3-E10 Jur Energy Sales'!$K$49</f>
        <v>140347.31862412201</v>
      </c>
      <c r="BI54" s="150"/>
      <c r="BJ54" s="180">
        <f t="shared" si="21"/>
        <v>0.99</v>
      </c>
      <c r="BK54" s="150"/>
      <c r="BL54" s="179">
        <f>BH54*BJ54</f>
        <v>138943.84543788078</v>
      </c>
      <c r="BM54" s="150"/>
      <c r="BN54" s="179">
        <f>BL54</f>
        <v>138943.84543788078</v>
      </c>
      <c r="BP54" s="179">
        <v>0</v>
      </c>
      <c r="BQ54" s="179"/>
      <c r="BR54" s="150"/>
    </row>
    <row r="55" spans="1:70" x14ac:dyDescent="0.25">
      <c r="A55" s="159">
        <f t="shared" si="2"/>
        <v>42</v>
      </c>
      <c r="B55" s="178"/>
      <c r="C55" s="150"/>
      <c r="D55" s="150" t="s">
        <v>191</v>
      </c>
      <c r="E55" s="150"/>
      <c r="F55" s="150"/>
      <c r="G55" s="150"/>
      <c r="H55" s="190">
        <f>SUM(H53:H54)</f>
        <v>142871.08386628859</v>
      </c>
      <c r="I55" s="150"/>
      <c r="J55" s="187"/>
      <c r="K55" s="150"/>
      <c r="L55" s="190">
        <f>SUM(L53:L54)</f>
        <v>141442.3730276257</v>
      </c>
      <c r="M55" s="150"/>
      <c r="N55" s="190">
        <f>SUM(N53:N54)</f>
        <v>141442.3730276257</v>
      </c>
      <c r="P55" s="190">
        <f>SUM(P53:P54)</f>
        <v>0</v>
      </c>
      <c r="Q55" s="179"/>
      <c r="R55" s="150"/>
      <c r="S55" s="150"/>
      <c r="T55" s="167"/>
      <c r="U55" s="161"/>
      <c r="V55" s="167"/>
      <c r="W55" s="161"/>
      <c r="X55" s="167"/>
      <c r="Y55" s="161"/>
      <c r="Z55" s="170"/>
      <c r="AA55" s="159">
        <f t="shared" si="14"/>
        <v>42</v>
      </c>
      <c r="AB55" s="178"/>
      <c r="AC55" s="150"/>
      <c r="AD55" s="150" t="s">
        <v>191</v>
      </c>
      <c r="AE55" s="150"/>
      <c r="AF55" s="150"/>
      <c r="AG55" s="150"/>
      <c r="AH55" s="190">
        <f>SUM(AH53:AH54)</f>
        <v>142705.76625712184</v>
      </c>
      <c r="AI55" s="150"/>
      <c r="AJ55" s="187"/>
      <c r="AK55" s="150"/>
      <c r="AL55" s="190">
        <f>SUM(AL53:AL54)</f>
        <v>141278.70859455061</v>
      </c>
      <c r="AM55" s="150"/>
      <c r="AN55" s="190">
        <f>SUM(AN53:AN54)</f>
        <v>141278.70859455061</v>
      </c>
      <c r="AP55" s="190">
        <f>SUM(AP53:AP54)</f>
        <v>0</v>
      </c>
      <c r="AQ55" s="179"/>
      <c r="AR55" s="150"/>
      <c r="AZ55" s="170"/>
      <c r="BA55" s="159">
        <f t="shared" si="15"/>
        <v>42</v>
      </c>
      <c r="BB55" s="178"/>
      <c r="BC55" s="150"/>
      <c r="BD55" s="150" t="s">
        <v>191</v>
      </c>
      <c r="BE55" s="150"/>
      <c r="BF55" s="150"/>
      <c r="BG55" s="150"/>
      <c r="BH55" s="190">
        <f>SUM(BH53:BH54)</f>
        <v>140347.31862412201</v>
      </c>
      <c r="BI55" s="150"/>
      <c r="BJ55" s="187"/>
      <c r="BK55" s="150"/>
      <c r="BL55" s="190">
        <f>SUM(BL53:BL54)</f>
        <v>138943.84543788078</v>
      </c>
      <c r="BM55" s="150"/>
      <c r="BN55" s="190">
        <f>SUM(BN53:BN54)</f>
        <v>138943.84543788078</v>
      </c>
      <c r="BP55" s="190">
        <f>SUM(BP53:BP54)</f>
        <v>0</v>
      </c>
      <c r="BQ55" s="179"/>
      <c r="BR55" s="150"/>
    </row>
    <row r="56" spans="1:70" x14ac:dyDescent="0.25">
      <c r="A56" s="159">
        <f t="shared" si="2"/>
        <v>43</v>
      </c>
      <c r="B56" s="178"/>
      <c r="C56" s="150" t="s">
        <v>192</v>
      </c>
      <c r="D56" s="150" t="s">
        <v>193</v>
      </c>
      <c r="E56" s="150"/>
      <c r="F56" s="150"/>
      <c r="G56" s="150"/>
      <c r="H56" s="192">
        <f>+'[7]5-E10 Jur Energy Sales'!$K$51</f>
        <v>336023.77377702371</v>
      </c>
      <c r="I56" s="150"/>
      <c r="J56" s="187">
        <f>J14</f>
        <v>1</v>
      </c>
      <c r="K56" s="150"/>
      <c r="L56" s="192">
        <f>H56*J56</f>
        <v>336023.77377702371</v>
      </c>
      <c r="M56" s="150"/>
      <c r="N56" s="192">
        <f>L56</f>
        <v>336023.77377702371</v>
      </c>
      <c r="P56" s="192">
        <f>N56</f>
        <v>336023.77377702371</v>
      </c>
      <c r="Q56" s="179"/>
      <c r="R56" s="150"/>
      <c r="S56" s="150"/>
      <c r="T56" s="167"/>
      <c r="U56" s="161"/>
      <c r="V56" s="167"/>
      <c r="W56" s="161"/>
      <c r="X56" s="167"/>
      <c r="Y56" s="161"/>
      <c r="Z56" s="170"/>
      <c r="AA56" s="159">
        <f t="shared" si="14"/>
        <v>43</v>
      </c>
      <c r="AB56" s="178"/>
      <c r="AC56" s="150" t="s">
        <v>192</v>
      </c>
      <c r="AD56" s="150" t="s">
        <v>193</v>
      </c>
      <c r="AE56" s="150"/>
      <c r="AF56" s="150"/>
      <c r="AG56" s="150"/>
      <c r="AH56" s="192">
        <f>+'[7]4-E10 Jur Energy Sales'!$K$51</f>
        <v>334333.05678655772</v>
      </c>
      <c r="AI56" s="150"/>
      <c r="AJ56" s="180">
        <f>+J56</f>
        <v>1</v>
      </c>
      <c r="AK56" s="150"/>
      <c r="AL56" s="192">
        <f>AH56*AJ56</f>
        <v>334333.05678655772</v>
      </c>
      <c r="AM56" s="150"/>
      <c r="AN56" s="192">
        <f>AL56</f>
        <v>334333.05678655772</v>
      </c>
      <c r="AP56" s="192">
        <f>AN56</f>
        <v>334333.05678655772</v>
      </c>
      <c r="AQ56" s="179"/>
      <c r="AR56" s="150"/>
      <c r="AZ56" s="170"/>
      <c r="BA56" s="159">
        <f t="shared" si="15"/>
        <v>43</v>
      </c>
      <c r="BB56" s="178"/>
      <c r="BC56" s="150" t="s">
        <v>192</v>
      </c>
      <c r="BD56" s="150" t="s">
        <v>193</v>
      </c>
      <c r="BE56" s="150"/>
      <c r="BF56" s="150"/>
      <c r="BG56" s="150"/>
      <c r="BH56" s="192">
        <f>+'[7]3-E10 Jur Energy Sales'!$K$51</f>
        <v>333418.34952740377</v>
      </c>
      <c r="BI56" s="150"/>
      <c r="BJ56" s="180">
        <f>+AJ56</f>
        <v>1</v>
      </c>
      <c r="BK56" s="150"/>
      <c r="BL56" s="192">
        <f>BH56*BJ56</f>
        <v>333418.34952740377</v>
      </c>
      <c r="BM56" s="150"/>
      <c r="BN56" s="192">
        <f>BL56</f>
        <v>333418.34952740377</v>
      </c>
      <c r="BP56" s="192">
        <f>BN56</f>
        <v>333418.34952740377</v>
      </c>
      <c r="BQ56" s="179"/>
      <c r="BR56" s="150"/>
    </row>
    <row r="57" spans="1:70" ht="14.4" thickBot="1" x14ac:dyDescent="0.3">
      <c r="A57" s="159">
        <f t="shared" si="2"/>
        <v>44</v>
      </c>
      <c r="B57" s="178"/>
      <c r="C57" s="150"/>
      <c r="D57" s="150"/>
      <c r="E57" s="150"/>
      <c r="F57" s="150"/>
      <c r="G57" s="150"/>
      <c r="H57" s="193">
        <f>SUM(H14+H20+H21+H28+H33+H41+H46+H51+H55+H56)</f>
        <v>39957447.484074011</v>
      </c>
      <c r="I57" s="150"/>
      <c r="J57" s="187"/>
      <c r="K57" s="150"/>
      <c r="L57" s="193">
        <f>SUM(L14+L20+L21+L28+L33+L41+L46+L51+L55+L56)</f>
        <v>39894359.599828959</v>
      </c>
      <c r="M57" s="150"/>
      <c r="N57" s="193">
        <f>SUM(N14+N20+N21+N28+N33+N41+N46+N51+N55+N56)</f>
        <v>38171122.491859563</v>
      </c>
      <c r="P57" s="193">
        <f>SUM(P14+P20+P21+P28+P33+P41+P46+P51+P55+P56)</f>
        <v>35128291.166675448</v>
      </c>
      <c r="Q57" s="179"/>
      <c r="R57" s="150"/>
      <c r="U57" s="167"/>
      <c r="V57" s="167"/>
      <c r="W57" s="167"/>
      <c r="X57" s="167"/>
      <c r="Y57" s="167"/>
      <c r="Z57" s="170"/>
      <c r="AA57" s="159">
        <f t="shared" si="14"/>
        <v>44</v>
      </c>
      <c r="AB57" s="178"/>
      <c r="AC57" s="150"/>
      <c r="AD57" s="150"/>
      <c r="AE57" s="150"/>
      <c r="AF57" s="150"/>
      <c r="AG57" s="150"/>
      <c r="AH57" s="193">
        <f>SUM(AH14+AH20+AH21+AH28+AH33+AH41+AH46+AH51+AH55+AH56)</f>
        <v>39926631.121166617</v>
      </c>
      <c r="AI57" s="150"/>
      <c r="AJ57" s="187"/>
      <c r="AK57" s="150"/>
      <c r="AL57" s="193">
        <f>SUM(AL14+AL20+AL21+AL28+AL33+AL41+AL46+AL51+AL55+AL56)</f>
        <v>39863723.509141445</v>
      </c>
      <c r="AM57" s="150"/>
      <c r="AN57" s="193">
        <f>SUM(AN14+AN20+AN21+AN28+AN33+AN41+AN46+AN51+AN55+AN56)</f>
        <v>38144668.584195964</v>
      </c>
      <c r="AP57" s="193">
        <f>SUM(AP14+AP20+AP21+AP28+AP33+AP41+AP46+AP51+AP55+AP56)</f>
        <v>35111647.718807831</v>
      </c>
      <c r="AQ57" s="179"/>
      <c r="AR57" s="150"/>
      <c r="AS57" s="150"/>
      <c r="AT57" s="150"/>
      <c r="AU57" s="150"/>
      <c r="AV57" s="150"/>
      <c r="AW57" s="150"/>
      <c r="AZ57" s="170"/>
      <c r="BA57" s="159">
        <f t="shared" si="15"/>
        <v>44</v>
      </c>
      <c r="BB57" s="178"/>
      <c r="BC57" s="150"/>
      <c r="BD57" s="150"/>
      <c r="BE57" s="150"/>
      <c r="BF57" s="150"/>
      <c r="BG57" s="150"/>
      <c r="BH57" s="193">
        <f>SUM(BH14+BH20+BH21+BH28+BH33+BH41+BH46+BH51+BH55+BH56)</f>
        <v>39798905.182772152</v>
      </c>
      <c r="BI57" s="150"/>
      <c r="BJ57" s="187"/>
      <c r="BK57" s="150"/>
      <c r="BL57" s="193">
        <f>SUM(BL14+BL20+BL21+BL28+BL33+BL41+BL46+BL51+BL55+BL56)</f>
        <v>39736636.226172529</v>
      </c>
      <c r="BM57" s="150"/>
      <c r="BN57" s="193">
        <f>SUM(BN14+BN20+BN21+BN28+BN33+BN41+BN46+BN51+BN55+BN56)</f>
        <v>38037500.412421934</v>
      </c>
      <c r="BP57" s="193">
        <f>SUM(BP14+BP20+BP21+BP28+BP33+BP41+BP46+BP51+BP55+BP56)</f>
        <v>35031183.291674174</v>
      </c>
      <c r="BQ57" s="179"/>
      <c r="BR57" s="150"/>
    </row>
    <row r="58" spans="1:70" ht="14.4" thickTop="1" x14ac:dyDescent="0.25">
      <c r="A58" s="159">
        <f t="shared" si="2"/>
        <v>45</v>
      </c>
      <c r="B58" s="178"/>
      <c r="C58" s="167" t="s">
        <v>194</v>
      </c>
      <c r="D58" s="150"/>
      <c r="E58" s="150"/>
      <c r="F58" s="150"/>
      <c r="G58" s="150"/>
      <c r="H58" s="150"/>
      <c r="I58" s="150"/>
      <c r="J58" s="187"/>
      <c r="K58" s="150"/>
      <c r="L58" s="150"/>
      <c r="M58" s="150"/>
      <c r="N58" s="150"/>
      <c r="P58" s="150"/>
      <c r="Q58" s="150"/>
      <c r="R58" s="188"/>
      <c r="U58" s="167"/>
      <c r="V58" s="167"/>
      <c r="W58" s="167"/>
      <c r="X58" s="167"/>
      <c r="Y58" s="167"/>
      <c r="Z58" s="170"/>
      <c r="AA58" s="159">
        <f t="shared" si="14"/>
        <v>45</v>
      </c>
      <c r="AB58" s="178"/>
      <c r="AC58" s="167" t="s">
        <v>194</v>
      </c>
      <c r="AD58" s="150"/>
      <c r="AE58" s="150"/>
      <c r="AF58" s="150"/>
      <c r="AG58" s="150"/>
      <c r="AH58" s="150"/>
      <c r="AI58" s="150"/>
      <c r="AJ58" s="187"/>
      <c r="AK58" s="150"/>
      <c r="AL58" s="150"/>
      <c r="AM58" s="150"/>
      <c r="AN58" s="150"/>
      <c r="AP58" s="150"/>
      <c r="AQ58" s="150"/>
      <c r="AR58" s="188"/>
      <c r="AS58" s="150"/>
      <c r="AT58" s="150"/>
      <c r="AU58" s="150"/>
      <c r="AV58" s="150"/>
      <c r="AW58" s="150"/>
      <c r="AZ58" s="170"/>
      <c r="BA58" s="159">
        <f t="shared" si="15"/>
        <v>45</v>
      </c>
      <c r="BB58" s="178"/>
      <c r="BC58" s="167" t="s">
        <v>194</v>
      </c>
      <c r="BD58" s="150"/>
      <c r="BE58" s="150"/>
      <c r="BF58" s="150"/>
      <c r="BG58" s="150"/>
      <c r="BH58" s="150"/>
      <c r="BI58" s="150"/>
      <c r="BJ58" s="187"/>
      <c r="BK58" s="150"/>
      <c r="BL58" s="150"/>
      <c r="BM58" s="150"/>
      <c r="BN58" s="150"/>
      <c r="BP58" s="150"/>
      <c r="BQ58" s="150"/>
      <c r="BR58" s="188"/>
    </row>
    <row r="59" spans="1:70" x14ac:dyDescent="0.25">
      <c r="A59" s="159">
        <f t="shared" si="2"/>
        <v>46</v>
      </c>
      <c r="B59" s="178"/>
      <c r="C59" s="150"/>
      <c r="D59" s="150" t="s">
        <v>162</v>
      </c>
      <c r="E59" s="150"/>
      <c r="F59" s="150"/>
      <c r="G59" s="150"/>
      <c r="H59" s="179">
        <f>H14</f>
        <v>20982468.502792321</v>
      </c>
      <c r="I59" s="179"/>
      <c r="J59" s="187"/>
      <c r="K59" s="179"/>
      <c r="L59" s="179">
        <f>L14</f>
        <v>20982468.502792321</v>
      </c>
      <c r="M59" s="179"/>
      <c r="N59" s="179">
        <f>N14</f>
        <v>20982468.502792321</v>
      </c>
      <c r="O59" s="194"/>
      <c r="P59" s="179">
        <f>P14</f>
        <v>20982468.502792321</v>
      </c>
      <c r="Q59" s="179"/>
      <c r="R59" s="150"/>
      <c r="U59" s="161"/>
      <c r="V59" s="167"/>
      <c r="W59" s="161"/>
      <c r="X59" s="167"/>
      <c r="Y59" s="161"/>
      <c r="Z59" s="170"/>
      <c r="AA59" s="159">
        <f t="shared" si="14"/>
        <v>46</v>
      </c>
      <c r="AB59" s="178"/>
      <c r="AC59" s="150"/>
      <c r="AD59" s="150" t="s">
        <v>162</v>
      </c>
      <c r="AE59" s="150"/>
      <c r="AF59" s="150"/>
      <c r="AG59" s="150"/>
      <c r="AH59" s="179">
        <f>AH14</f>
        <v>21036571.744844668</v>
      </c>
      <c r="AI59" s="179"/>
      <c r="AJ59" s="187"/>
      <c r="AK59" s="179"/>
      <c r="AL59" s="179">
        <f>AL14</f>
        <v>21036571.744844668</v>
      </c>
      <c r="AM59" s="179"/>
      <c r="AN59" s="179">
        <f>AN14</f>
        <v>21036571.744844668</v>
      </c>
      <c r="AO59" s="194"/>
      <c r="AP59" s="179">
        <f>AP14</f>
        <v>21036571.744844668</v>
      </c>
      <c r="AQ59" s="179"/>
      <c r="AR59" s="150"/>
      <c r="AZ59" s="170"/>
      <c r="BA59" s="159">
        <f t="shared" si="15"/>
        <v>46</v>
      </c>
      <c r="BB59" s="178"/>
      <c r="BC59" s="150"/>
      <c r="BD59" s="150" t="s">
        <v>162</v>
      </c>
      <c r="BE59" s="150"/>
      <c r="BF59" s="150"/>
      <c r="BG59" s="150"/>
      <c r="BH59" s="179">
        <f>BH14</f>
        <v>21024272.36356286</v>
      </c>
      <c r="BI59" s="179"/>
      <c r="BJ59" s="187"/>
      <c r="BK59" s="179"/>
      <c r="BL59" s="179">
        <f>BL14</f>
        <v>21024272.36356286</v>
      </c>
      <c r="BM59" s="179"/>
      <c r="BN59" s="179">
        <f>BN14</f>
        <v>21024272.36356286</v>
      </c>
      <c r="BO59" s="194"/>
      <c r="BP59" s="179">
        <f>BP14</f>
        <v>21024272.36356286</v>
      </c>
      <c r="BQ59" s="179"/>
      <c r="BR59" s="150"/>
    </row>
    <row r="60" spans="1:70" x14ac:dyDescent="0.25">
      <c r="A60" s="159">
        <f t="shared" si="2"/>
        <v>47</v>
      </c>
      <c r="B60" s="178"/>
      <c r="C60" s="150"/>
      <c r="D60" s="150" t="s">
        <v>164</v>
      </c>
      <c r="E60" s="150"/>
      <c r="F60" s="150"/>
      <c r="G60" s="150"/>
      <c r="H60" s="179">
        <f>H20</f>
        <v>2219393.4844384333</v>
      </c>
      <c r="I60" s="179"/>
      <c r="J60" s="187"/>
      <c r="K60" s="179"/>
      <c r="L60" s="179">
        <f>L20</f>
        <v>2219055.273830398</v>
      </c>
      <c r="M60" s="179"/>
      <c r="N60" s="179">
        <f>N20</f>
        <v>2215892.8297260012</v>
      </c>
      <c r="O60" s="194"/>
      <c r="P60" s="179">
        <f>P20</f>
        <v>2188799.4074149076</v>
      </c>
      <c r="Q60" s="179"/>
      <c r="R60" s="150"/>
      <c r="U60" s="167"/>
      <c r="V60" s="167"/>
      <c r="W60" s="167"/>
      <c r="X60" s="167"/>
      <c r="Y60" s="167"/>
      <c r="Z60" s="170"/>
      <c r="AA60" s="159">
        <f t="shared" si="14"/>
        <v>47</v>
      </c>
      <c r="AB60" s="178"/>
      <c r="AC60" s="150"/>
      <c r="AD60" s="150" t="s">
        <v>164</v>
      </c>
      <c r="AE60" s="150"/>
      <c r="AF60" s="150"/>
      <c r="AG60" s="150"/>
      <c r="AH60" s="179">
        <f>AH20</f>
        <v>2208317.6518503269</v>
      </c>
      <c r="AI60" s="179"/>
      <c r="AJ60" s="187"/>
      <c r="AK60" s="179"/>
      <c r="AL60" s="179">
        <f>AL20</f>
        <v>2207981.4668647805</v>
      </c>
      <c r="AM60" s="179"/>
      <c r="AN60" s="179">
        <f>AN20</f>
        <v>2204837.4846280855</v>
      </c>
      <c r="AO60" s="194"/>
      <c r="AP60" s="179">
        <f>AP20</f>
        <v>2177907.2984351711</v>
      </c>
      <c r="AQ60" s="179"/>
      <c r="AR60" s="150"/>
      <c r="AS60" s="150"/>
      <c r="AT60" s="150"/>
      <c r="AU60" s="150"/>
      <c r="AV60" s="150"/>
      <c r="AW60" s="150"/>
      <c r="AZ60" s="170"/>
      <c r="BA60" s="159">
        <f t="shared" si="15"/>
        <v>47</v>
      </c>
      <c r="BB60" s="178"/>
      <c r="BC60" s="150"/>
      <c r="BD60" s="150" t="s">
        <v>164</v>
      </c>
      <c r="BE60" s="150"/>
      <c r="BF60" s="150"/>
      <c r="BG60" s="150"/>
      <c r="BH60" s="179">
        <f>BH20</f>
        <v>2198521.0851339004</v>
      </c>
      <c r="BI60" s="179"/>
      <c r="BJ60" s="187"/>
      <c r="BK60" s="179"/>
      <c r="BL60" s="179">
        <f>BL20</f>
        <v>2198186.991346309</v>
      </c>
      <c r="BM60" s="179"/>
      <c r="BN60" s="179">
        <f>BN20</f>
        <v>2195056.3043123526</v>
      </c>
      <c r="BO60" s="194"/>
      <c r="BP60" s="179">
        <f>BP20</f>
        <v>2168306.28498084</v>
      </c>
      <c r="BQ60" s="179"/>
      <c r="BR60" s="150"/>
    </row>
    <row r="61" spans="1:70" x14ac:dyDescent="0.25">
      <c r="A61" s="159">
        <f t="shared" si="2"/>
        <v>48</v>
      </c>
      <c r="B61" s="178"/>
      <c r="C61" s="150"/>
      <c r="D61" s="150" t="s">
        <v>195</v>
      </c>
      <c r="E61" s="150"/>
      <c r="F61" s="150"/>
      <c r="G61" s="150"/>
      <c r="H61" s="179">
        <f>H21</f>
        <v>209993.41425404578</v>
      </c>
      <c r="I61" s="179"/>
      <c r="J61" s="187"/>
      <c r="K61" s="179"/>
      <c r="L61" s="179">
        <f>L21</f>
        <v>209993.41425404578</v>
      </c>
      <c r="M61" s="179"/>
      <c r="N61" s="179">
        <f>N21</f>
        <v>209993.41425404578</v>
      </c>
      <c r="O61" s="194"/>
      <c r="P61" s="179">
        <f>P21</f>
        <v>209993.41425404578</v>
      </c>
      <c r="Q61" s="179"/>
      <c r="R61" s="150"/>
      <c r="S61" s="195"/>
      <c r="T61" s="167"/>
      <c r="U61" s="161"/>
      <c r="V61" s="167"/>
      <c r="W61" s="161"/>
      <c r="X61" s="167"/>
      <c r="Y61" s="161"/>
      <c r="Z61" s="170"/>
      <c r="AA61" s="159">
        <f t="shared" si="14"/>
        <v>48</v>
      </c>
      <c r="AB61" s="178"/>
      <c r="AC61" s="150"/>
      <c r="AD61" s="150" t="s">
        <v>195</v>
      </c>
      <c r="AE61" s="150"/>
      <c r="AF61" s="150"/>
      <c r="AG61" s="150"/>
      <c r="AH61" s="179">
        <f>AH21</f>
        <v>209117.90872189892</v>
      </c>
      <c r="AI61" s="179"/>
      <c r="AJ61" s="187"/>
      <c r="AK61" s="179"/>
      <c r="AL61" s="179">
        <f>AL21</f>
        <v>209117.90872189892</v>
      </c>
      <c r="AM61" s="179"/>
      <c r="AN61" s="179">
        <f>AN21</f>
        <v>209117.90872189892</v>
      </c>
      <c r="AO61" s="194"/>
      <c r="AP61" s="179">
        <f>AP21</f>
        <v>209117.90872189892</v>
      </c>
      <c r="AQ61" s="179"/>
      <c r="AR61" s="150"/>
      <c r="AY61" s="167"/>
      <c r="AZ61" s="170"/>
      <c r="BA61" s="159">
        <f t="shared" si="15"/>
        <v>48</v>
      </c>
      <c r="BB61" s="178"/>
      <c r="BC61" s="150"/>
      <c r="BD61" s="150" t="s">
        <v>195</v>
      </c>
      <c r="BE61" s="150"/>
      <c r="BF61" s="150"/>
      <c r="BG61" s="150"/>
      <c r="BH61" s="179">
        <f>BH21</f>
        <v>208497.37725828003</v>
      </c>
      <c r="BI61" s="179"/>
      <c r="BJ61" s="187"/>
      <c r="BK61" s="179"/>
      <c r="BL61" s="179">
        <f>BL21</f>
        <v>208497.37725828003</v>
      </c>
      <c r="BM61" s="179"/>
      <c r="BN61" s="179">
        <f>BN21</f>
        <v>208497.37725828003</v>
      </c>
      <c r="BO61" s="194"/>
      <c r="BP61" s="179">
        <f>BP21</f>
        <v>208497.37725828003</v>
      </c>
      <c r="BQ61" s="179"/>
      <c r="BR61" s="150"/>
    </row>
    <row r="62" spans="1:70" x14ac:dyDescent="0.25">
      <c r="A62" s="159">
        <f t="shared" si="2"/>
        <v>49</v>
      </c>
      <c r="B62" s="178"/>
      <c r="C62" s="150"/>
      <c r="D62" s="150" t="s">
        <v>196</v>
      </c>
      <c r="E62" s="150"/>
      <c r="F62" s="150"/>
      <c r="G62" s="150"/>
      <c r="H62" s="179">
        <f>H28+H46</f>
        <v>13369125.840977401</v>
      </c>
      <c r="I62" s="179"/>
      <c r="J62" s="187"/>
      <c r="K62" s="179"/>
      <c r="L62" s="179">
        <f>L28+L46</f>
        <v>13340883.857992882</v>
      </c>
      <c r="M62" s="179"/>
      <c r="N62" s="179">
        <f>N28+N46</f>
        <v>12852249.764427604</v>
      </c>
      <c r="O62" s="194"/>
      <c r="P62" s="179">
        <f>P28+P46</f>
        <v>11036274.197567809</v>
      </c>
      <c r="Q62" s="179"/>
      <c r="R62" s="150"/>
      <c r="S62" s="196"/>
      <c r="T62" s="167"/>
      <c r="U62" s="167"/>
      <c r="V62" s="167"/>
      <c r="W62" s="167"/>
      <c r="X62" s="167"/>
      <c r="Y62" s="167"/>
      <c r="Z62" s="170"/>
      <c r="AA62" s="159">
        <f t="shared" si="14"/>
        <v>49</v>
      </c>
      <c r="AB62" s="178"/>
      <c r="AC62" s="150"/>
      <c r="AD62" s="150" t="s">
        <v>196</v>
      </c>
      <c r="AE62" s="150"/>
      <c r="AF62" s="150"/>
      <c r="AG62" s="150"/>
      <c r="AH62" s="179">
        <f>AH28+AH46</f>
        <v>13302377.813834015</v>
      </c>
      <c r="AI62" s="179"/>
      <c r="AJ62" s="187"/>
      <c r="AK62" s="179"/>
      <c r="AL62" s="179">
        <f>AL28+AL46</f>
        <v>13274257.005823161</v>
      </c>
      <c r="AM62" s="179"/>
      <c r="AN62" s="179">
        <f>AN28+AN46</f>
        <v>12787713.975054976</v>
      </c>
      <c r="AO62" s="194"/>
      <c r="AP62" s="179">
        <f>AP28+AP46</f>
        <v>10979556.808945941</v>
      </c>
      <c r="AQ62" s="179"/>
      <c r="AR62" s="150"/>
      <c r="AS62" s="150"/>
      <c r="AT62" s="150"/>
      <c r="AU62" s="150"/>
      <c r="AV62" s="150"/>
      <c r="AW62" s="150"/>
      <c r="AY62" s="167"/>
      <c r="AZ62" s="170"/>
      <c r="BA62" s="159">
        <f t="shared" si="15"/>
        <v>49</v>
      </c>
      <c r="BB62" s="178"/>
      <c r="BC62" s="150"/>
      <c r="BD62" s="150" t="s">
        <v>196</v>
      </c>
      <c r="BE62" s="150"/>
      <c r="BF62" s="150"/>
      <c r="BG62" s="150"/>
      <c r="BH62" s="179">
        <f>BH28+BH46</f>
        <v>13235838.868716732</v>
      </c>
      <c r="BI62" s="179"/>
      <c r="BJ62" s="187"/>
      <c r="BK62" s="179"/>
      <c r="BL62" s="179">
        <f>BL28+BL46</f>
        <v>13207897.222804066</v>
      </c>
      <c r="BM62" s="179"/>
      <c r="BN62" s="179">
        <f>BN28+BN46</f>
        <v>12725002.709674085</v>
      </c>
      <c r="BO62" s="194"/>
      <c r="BP62" s="179">
        <f>BP28+BP46</f>
        <v>10927270.303725917</v>
      </c>
      <c r="BQ62" s="179"/>
      <c r="BR62" s="150"/>
    </row>
    <row r="63" spans="1:70" x14ac:dyDescent="0.25">
      <c r="A63" s="159">
        <f t="shared" si="2"/>
        <v>50</v>
      </c>
      <c r="B63" s="178"/>
      <c r="C63" s="150"/>
      <c r="D63" s="150" t="s">
        <v>197</v>
      </c>
      <c r="E63" s="150"/>
      <c r="F63" s="150"/>
      <c r="G63" s="150"/>
      <c r="H63" s="179">
        <f>H33+H55</f>
        <v>209981.88603879418</v>
      </c>
      <c r="I63" s="179"/>
      <c r="J63" s="187"/>
      <c r="K63" s="179"/>
      <c r="L63" s="179">
        <f>L33+L55</f>
        <v>207882.06707512864</v>
      </c>
      <c r="M63" s="179"/>
      <c r="N63" s="179">
        <f>N33+N55</f>
        <v>207882.06707512864</v>
      </c>
      <c r="O63" s="194"/>
      <c r="P63" s="179">
        <f>P33+P55</f>
        <v>-1.0327760138460873E-2</v>
      </c>
      <c r="Q63" s="179"/>
      <c r="R63" s="184"/>
      <c r="S63" s="197"/>
      <c r="T63" s="167"/>
      <c r="U63" s="161"/>
      <c r="V63" s="167"/>
      <c r="W63" s="161"/>
      <c r="X63" s="167"/>
      <c r="Y63" s="161"/>
      <c r="Z63" s="170"/>
      <c r="AA63" s="159">
        <f t="shared" si="14"/>
        <v>50</v>
      </c>
      <c r="AB63" s="178"/>
      <c r="AC63" s="150"/>
      <c r="AD63" s="150" t="s">
        <v>197</v>
      </c>
      <c r="AE63" s="150"/>
      <c r="AF63" s="150"/>
      <c r="AG63" s="150"/>
      <c r="AH63" s="179">
        <f>AH33+AH55</f>
        <v>209586.67124010937</v>
      </c>
      <c r="AI63" s="179"/>
      <c r="AJ63" s="187"/>
      <c r="AK63" s="179"/>
      <c r="AL63" s="179">
        <f>AL33+AL55</f>
        <v>207490.80452770827</v>
      </c>
      <c r="AM63" s="179"/>
      <c r="AN63" s="179">
        <f>AN33+AN55</f>
        <v>207490.80452770827</v>
      </c>
      <c r="AO63" s="194"/>
      <c r="AP63" s="179">
        <f>AP33+AP55</f>
        <v>0</v>
      </c>
      <c r="AQ63" s="179"/>
      <c r="AR63" s="184"/>
      <c r="AY63" s="167"/>
      <c r="AZ63" s="170"/>
      <c r="BA63" s="159">
        <f t="shared" si="15"/>
        <v>50</v>
      </c>
      <c r="BB63" s="178"/>
      <c r="BC63" s="150"/>
      <c r="BD63" s="150" t="s">
        <v>197</v>
      </c>
      <c r="BE63" s="150"/>
      <c r="BF63" s="150"/>
      <c r="BG63" s="150"/>
      <c r="BH63" s="179">
        <f>BH33+BH55</f>
        <v>206552.66554421961</v>
      </c>
      <c r="BI63" s="179"/>
      <c r="BJ63" s="187"/>
      <c r="BK63" s="179"/>
      <c r="BL63" s="179">
        <f>BL33+BL55</f>
        <v>204487.1387846469</v>
      </c>
      <c r="BM63" s="179"/>
      <c r="BN63" s="179">
        <f>BN33+BN55</f>
        <v>204487.1387846469</v>
      </c>
      <c r="BO63" s="194"/>
      <c r="BP63" s="179">
        <f>BP33+BP55</f>
        <v>-1.0413047890876921E-2</v>
      </c>
      <c r="BQ63" s="179"/>
      <c r="BR63" s="184"/>
    </row>
    <row r="64" spans="1:70" ht="12.75" customHeight="1" x14ac:dyDescent="0.25">
      <c r="A64" s="159">
        <f t="shared" si="2"/>
        <v>51</v>
      </c>
      <c r="B64" s="178"/>
      <c r="C64" s="150"/>
      <c r="D64" s="150" t="s">
        <v>198</v>
      </c>
      <c r="E64" s="150"/>
      <c r="F64" s="150"/>
      <c r="G64" s="150"/>
      <c r="H64" s="179">
        <f>H41+H51</f>
        <v>2630460.5817959863</v>
      </c>
      <c r="I64" s="179"/>
      <c r="J64" s="187"/>
      <c r="K64" s="179"/>
      <c r="L64" s="179">
        <f>L41+L51</f>
        <v>2598052.7101071584</v>
      </c>
      <c r="M64" s="179"/>
      <c r="N64" s="179">
        <f>N41+N51</f>
        <v>1366612.1398074352</v>
      </c>
      <c r="O64" s="194"/>
      <c r="P64" s="179">
        <f>P41+P51</f>
        <v>374731.88119710202</v>
      </c>
      <c r="Q64" s="179"/>
      <c r="R64" s="164"/>
      <c r="S64" s="198"/>
      <c r="T64" s="167"/>
      <c r="U64" s="167"/>
      <c r="V64" s="167"/>
      <c r="W64" s="167"/>
      <c r="X64" s="167"/>
      <c r="Y64" s="167"/>
      <c r="Z64" s="170"/>
      <c r="AA64" s="159">
        <f t="shared" si="14"/>
        <v>51</v>
      </c>
      <c r="AB64" s="178"/>
      <c r="AC64" s="150"/>
      <c r="AD64" s="150" t="s">
        <v>198</v>
      </c>
      <c r="AE64" s="150"/>
      <c r="AF64" s="150"/>
      <c r="AG64" s="150"/>
      <c r="AH64" s="179">
        <f>AH41+AH51</f>
        <v>2626326.273889041</v>
      </c>
      <c r="AI64" s="179"/>
      <c r="AJ64" s="187"/>
      <c r="AK64" s="179"/>
      <c r="AL64" s="179">
        <f>AL41+AL51</f>
        <v>2593971.5215726732</v>
      </c>
      <c r="AM64" s="179"/>
      <c r="AN64" s="179">
        <f>AN41+AN51</f>
        <v>1364603.609632066</v>
      </c>
      <c r="AO64" s="194"/>
      <c r="AP64" s="179">
        <f>AP41+AP51</f>
        <v>374160.90107359481</v>
      </c>
      <c r="AQ64" s="179"/>
      <c r="AR64" s="164"/>
      <c r="AS64" s="150"/>
      <c r="AT64" s="150"/>
      <c r="AU64" s="150"/>
      <c r="AV64" s="150"/>
      <c r="AW64" s="150"/>
      <c r="AY64" s="167"/>
      <c r="AZ64" s="170"/>
      <c r="BA64" s="159">
        <f t="shared" si="15"/>
        <v>51</v>
      </c>
      <c r="BB64" s="178"/>
      <c r="BC64" s="150"/>
      <c r="BD64" s="150" t="s">
        <v>198</v>
      </c>
      <c r="BE64" s="150"/>
      <c r="BF64" s="150"/>
      <c r="BG64" s="150"/>
      <c r="BH64" s="179">
        <f>BH41+BH51</f>
        <v>2591804.4730287613</v>
      </c>
      <c r="BI64" s="179"/>
      <c r="BJ64" s="187"/>
      <c r="BK64" s="179"/>
      <c r="BL64" s="179">
        <f>BL41+BL51</f>
        <v>2559876.7828889675</v>
      </c>
      <c r="BM64" s="179"/>
      <c r="BN64" s="179">
        <f>BN41+BN51</f>
        <v>1346766.1693023082</v>
      </c>
      <c r="BO64" s="194"/>
      <c r="BP64" s="179">
        <f>BP41+BP51</f>
        <v>369418.6230319246</v>
      </c>
      <c r="BQ64" s="179"/>
      <c r="BR64" s="164"/>
    </row>
    <row r="65" spans="1:70" x14ac:dyDescent="0.25">
      <c r="A65" s="159">
        <f t="shared" si="2"/>
        <v>52</v>
      </c>
      <c r="B65" s="178"/>
      <c r="C65" s="150"/>
      <c r="D65" s="150" t="s">
        <v>199</v>
      </c>
      <c r="E65" s="150"/>
      <c r="F65" s="150"/>
      <c r="G65" s="150"/>
      <c r="H65" s="179">
        <f>H56</f>
        <v>336023.77377702371</v>
      </c>
      <c r="I65" s="179"/>
      <c r="J65" s="187"/>
      <c r="K65" s="179"/>
      <c r="L65" s="179">
        <f>L56</f>
        <v>336023.77377702371</v>
      </c>
      <c r="M65" s="179"/>
      <c r="N65" s="179">
        <f>N56</f>
        <v>336023.77377702371</v>
      </c>
      <c r="O65" s="194"/>
      <c r="P65" s="179">
        <f>P56</f>
        <v>336023.77377702371</v>
      </c>
      <c r="Q65" s="179"/>
      <c r="R65" s="164"/>
      <c r="S65" s="199"/>
      <c r="T65" s="167"/>
      <c r="U65" s="161"/>
      <c r="V65" s="167"/>
      <c r="W65" s="161"/>
      <c r="X65" s="167"/>
      <c r="Y65" s="161"/>
      <c r="Z65" s="170"/>
      <c r="AA65" s="159">
        <f t="shared" si="14"/>
        <v>52</v>
      </c>
      <c r="AB65" s="178"/>
      <c r="AC65" s="150"/>
      <c r="AD65" s="150" t="s">
        <v>199</v>
      </c>
      <c r="AE65" s="150"/>
      <c r="AF65" s="150"/>
      <c r="AG65" s="150"/>
      <c r="AH65" s="179">
        <f>AH56</f>
        <v>334333.05678655772</v>
      </c>
      <c r="AI65" s="179"/>
      <c r="AJ65" s="187"/>
      <c r="AK65" s="179"/>
      <c r="AL65" s="179">
        <f>AL56</f>
        <v>334333.05678655772</v>
      </c>
      <c r="AM65" s="179"/>
      <c r="AN65" s="179">
        <f>AN56</f>
        <v>334333.05678655772</v>
      </c>
      <c r="AO65" s="194"/>
      <c r="AP65" s="179">
        <f>AP56</f>
        <v>334333.05678655772</v>
      </c>
      <c r="AQ65" s="179"/>
      <c r="AR65" s="164"/>
      <c r="AZ65" s="170"/>
      <c r="BA65" s="159">
        <f t="shared" si="15"/>
        <v>52</v>
      </c>
      <c r="BB65" s="178"/>
      <c r="BC65" s="150"/>
      <c r="BD65" s="150" t="s">
        <v>199</v>
      </c>
      <c r="BE65" s="150"/>
      <c r="BF65" s="150"/>
      <c r="BG65" s="150"/>
      <c r="BH65" s="179">
        <f>BH56</f>
        <v>333418.34952740377</v>
      </c>
      <c r="BI65" s="179"/>
      <c r="BJ65" s="187"/>
      <c r="BK65" s="179"/>
      <c r="BL65" s="179">
        <f>BL56</f>
        <v>333418.34952740377</v>
      </c>
      <c r="BM65" s="179"/>
      <c r="BN65" s="179">
        <f>BN56</f>
        <v>333418.34952740377</v>
      </c>
      <c r="BO65" s="194"/>
      <c r="BP65" s="179">
        <f>BP56</f>
        <v>333418.34952740377</v>
      </c>
      <c r="BQ65" s="179"/>
      <c r="BR65" s="164"/>
    </row>
    <row r="66" spans="1:70" ht="14.4" thickBot="1" x14ac:dyDescent="0.3">
      <c r="A66" s="159">
        <f t="shared" si="2"/>
        <v>53</v>
      </c>
      <c r="B66" s="178"/>
      <c r="C66" s="150"/>
      <c r="D66" s="150" t="s">
        <v>200</v>
      </c>
      <c r="E66" s="150"/>
      <c r="F66" s="150"/>
      <c r="G66" s="150"/>
      <c r="H66" s="200">
        <f>SUM(H59:H65)</f>
        <v>39957447.484074004</v>
      </c>
      <c r="I66" s="179"/>
      <c r="J66" s="187"/>
      <c r="K66" s="179"/>
      <c r="L66" s="200">
        <f>SUM(L59:L65)</f>
        <v>39894359.599828951</v>
      </c>
      <c r="M66" s="179"/>
      <c r="N66" s="200">
        <f>SUM(N59:N65)</f>
        <v>38171122.491859555</v>
      </c>
      <c r="O66" s="194"/>
      <c r="P66" s="200">
        <f>SUM(P59:P65)</f>
        <v>35128291.166675448</v>
      </c>
      <c r="Q66" s="179"/>
      <c r="R66" s="164"/>
      <c r="T66" s="167"/>
      <c r="U66" s="167"/>
      <c r="V66" s="167"/>
      <c r="W66" s="167"/>
      <c r="X66" s="167"/>
      <c r="Y66" s="167"/>
      <c r="Z66" s="170"/>
      <c r="AA66" s="159">
        <f t="shared" si="14"/>
        <v>53</v>
      </c>
      <c r="AB66" s="178"/>
      <c r="AC66" s="150"/>
      <c r="AD66" s="150" t="s">
        <v>200</v>
      </c>
      <c r="AE66" s="150"/>
      <c r="AF66" s="150"/>
      <c r="AG66" s="150"/>
      <c r="AH66" s="200">
        <f>SUM(AH59:AH65)</f>
        <v>39926631.121166617</v>
      </c>
      <c r="AI66" s="179"/>
      <c r="AJ66" s="187"/>
      <c r="AK66" s="179"/>
      <c r="AL66" s="200">
        <f>SUM(AL59:AL65)</f>
        <v>39863723.509141445</v>
      </c>
      <c r="AM66" s="179"/>
      <c r="AN66" s="200">
        <f>SUM(AN59:AN65)</f>
        <v>38144668.584195964</v>
      </c>
      <c r="AO66" s="194"/>
      <c r="AP66" s="200">
        <f>SUM(AP59:AP65)</f>
        <v>35111647.718807831</v>
      </c>
      <c r="AQ66" s="179"/>
      <c r="AR66" s="164"/>
      <c r="AS66" s="150"/>
      <c r="AT66" s="150"/>
      <c r="AU66" s="150"/>
      <c r="AV66" s="150"/>
      <c r="AW66" s="150"/>
      <c r="AX66" s="167"/>
      <c r="AY66" s="167"/>
      <c r="AZ66" s="170"/>
      <c r="BA66" s="159">
        <f t="shared" si="15"/>
        <v>53</v>
      </c>
      <c r="BB66" s="178"/>
      <c r="BC66" s="150"/>
      <c r="BD66" s="150" t="s">
        <v>200</v>
      </c>
      <c r="BE66" s="150"/>
      <c r="BF66" s="150"/>
      <c r="BG66" s="150"/>
      <c r="BH66" s="200">
        <f>SUM(BH59:BH65)</f>
        <v>39798905.182772152</v>
      </c>
      <c r="BI66" s="179"/>
      <c r="BJ66" s="187"/>
      <c r="BK66" s="179"/>
      <c r="BL66" s="200">
        <f>SUM(BL59:BL65)</f>
        <v>39736636.226172522</v>
      </c>
      <c r="BM66" s="179"/>
      <c r="BN66" s="200">
        <f>SUM(BN59:BN65)</f>
        <v>38037500.412421934</v>
      </c>
      <c r="BO66" s="194"/>
      <c r="BP66" s="200">
        <f>SUM(BP59:BP65)</f>
        <v>35031183.291674174</v>
      </c>
      <c r="BQ66" s="179"/>
      <c r="BR66" s="164"/>
    </row>
    <row r="67" spans="1:70" ht="8.25" customHeight="1" thickTop="1" x14ac:dyDescent="0.25">
      <c r="C67" s="150"/>
      <c r="D67" s="150"/>
      <c r="E67" s="150"/>
      <c r="F67" s="150"/>
      <c r="G67" s="150"/>
      <c r="H67" s="150"/>
      <c r="I67" s="150"/>
      <c r="J67" s="187"/>
      <c r="K67" s="150"/>
      <c r="L67" s="150"/>
      <c r="M67" s="150"/>
      <c r="N67" s="150"/>
      <c r="T67" s="167"/>
      <c r="U67" s="161"/>
      <c r="V67" s="167"/>
      <c r="W67" s="161"/>
      <c r="X67" s="167"/>
      <c r="Y67" s="161"/>
      <c r="Z67" s="170"/>
      <c r="AC67" s="150"/>
      <c r="AD67" s="150"/>
      <c r="AE67" s="150"/>
      <c r="AF67" s="150"/>
      <c r="AG67" s="150"/>
      <c r="AH67" s="150"/>
      <c r="AI67" s="150"/>
      <c r="AJ67" s="187"/>
      <c r="AK67" s="150"/>
      <c r="AL67" s="150"/>
      <c r="AM67" s="150"/>
      <c r="AN67" s="150"/>
      <c r="AZ67" s="170"/>
      <c r="BC67" s="150"/>
      <c r="BD67" s="150"/>
      <c r="BE67" s="150"/>
      <c r="BF67" s="150"/>
      <c r="BG67" s="150"/>
      <c r="BH67" s="150"/>
      <c r="BI67" s="150"/>
      <c r="BJ67" s="187"/>
      <c r="BK67" s="150"/>
      <c r="BL67" s="150"/>
      <c r="BM67" s="150"/>
      <c r="BN67" s="150"/>
    </row>
    <row r="68" spans="1:70" x14ac:dyDescent="0.3">
      <c r="A68" s="23" t="s">
        <v>30</v>
      </c>
      <c r="B68" s="24"/>
      <c r="C68" s="25"/>
      <c r="D68" s="26"/>
      <c r="E68" s="26"/>
      <c r="F68" s="26"/>
      <c r="G68" s="26"/>
      <c r="H68" s="26"/>
      <c r="I68" s="26"/>
      <c r="J68" s="26"/>
      <c r="K68" s="26"/>
      <c r="L68" s="26"/>
      <c r="M68" s="26"/>
      <c r="N68" s="201"/>
      <c r="O68" s="24"/>
      <c r="P68" s="23" t="s">
        <v>31</v>
      </c>
      <c r="Q68" s="25"/>
      <c r="R68" s="25"/>
      <c r="T68" s="167"/>
      <c r="U68" s="167"/>
      <c r="V68" s="167"/>
      <c r="W68" s="167"/>
      <c r="X68" s="167"/>
      <c r="Y68" s="167"/>
      <c r="Z68" s="170"/>
      <c r="AA68" s="23" t="s">
        <v>30</v>
      </c>
      <c r="AB68" s="24"/>
      <c r="AC68" s="25"/>
      <c r="AD68" s="26"/>
      <c r="AE68" s="26"/>
      <c r="AF68" s="26"/>
      <c r="AG68" s="26"/>
      <c r="AH68" s="26"/>
      <c r="AI68" s="26"/>
      <c r="AJ68" s="26"/>
      <c r="AK68" s="26"/>
      <c r="AL68" s="26"/>
      <c r="AM68" s="26"/>
      <c r="AN68" s="201"/>
      <c r="AO68" s="24"/>
      <c r="AP68" s="23" t="s">
        <v>31</v>
      </c>
      <c r="AQ68" s="25"/>
      <c r="AR68" s="25"/>
      <c r="AS68" s="150"/>
      <c r="AT68" s="150"/>
      <c r="AU68" s="150"/>
      <c r="AV68" s="150"/>
      <c r="AW68" s="150"/>
      <c r="AX68" s="167"/>
      <c r="AY68" s="167"/>
      <c r="AZ68" s="170"/>
      <c r="BA68" s="23" t="s">
        <v>30</v>
      </c>
      <c r="BB68" s="24"/>
      <c r="BC68" s="25"/>
      <c r="BD68" s="26"/>
      <c r="BE68" s="26"/>
      <c r="BF68" s="26"/>
      <c r="BG68" s="26"/>
      <c r="BH68" s="26"/>
      <c r="BI68" s="26"/>
      <c r="BJ68" s="26"/>
      <c r="BK68" s="26"/>
      <c r="BL68" s="26"/>
      <c r="BM68" s="26"/>
      <c r="BN68" s="201"/>
      <c r="BO68" s="24"/>
      <c r="BP68" s="23" t="s">
        <v>31</v>
      </c>
      <c r="BQ68" s="25"/>
      <c r="BR68" s="25"/>
    </row>
    <row r="69" spans="1:70" x14ac:dyDescent="0.25">
      <c r="T69" s="167"/>
      <c r="U69" s="161"/>
      <c r="V69" s="167"/>
      <c r="W69" s="161"/>
      <c r="X69" s="167"/>
      <c r="Y69" s="161"/>
      <c r="Z69" s="170"/>
      <c r="AX69" s="167"/>
      <c r="AY69" s="167"/>
      <c r="AZ69" s="170"/>
    </row>
    <row r="70" spans="1:70" x14ac:dyDescent="0.25">
      <c r="C70" s="150"/>
      <c r="F70" s="202"/>
      <c r="G70" s="203" t="s">
        <v>201</v>
      </c>
      <c r="H70" s="204">
        <f>+H66-'[8]by Class - All Yrs'!$G$82-'[8]E13c Summary - All Years'!$F$56</f>
        <v>0</v>
      </c>
      <c r="I70" s="150"/>
      <c r="J70" s="187"/>
      <c r="K70" s="150"/>
      <c r="L70" s="150"/>
      <c r="M70" s="150"/>
      <c r="N70" s="150"/>
      <c r="R70" s="186"/>
      <c r="T70" s="167"/>
      <c r="U70" s="167"/>
      <c r="V70" s="167"/>
      <c r="W70" s="167"/>
      <c r="X70" s="167"/>
      <c r="Y70" s="167"/>
      <c r="Z70" s="170"/>
      <c r="AC70" s="150"/>
      <c r="AF70" s="202"/>
      <c r="AG70" s="203" t="s">
        <v>201</v>
      </c>
      <c r="AH70" s="204">
        <f>+AH66-'[8]by Class - All Yrs'!$F$82-'[8]E13c Summary - All Years'!$E$56</f>
        <v>1.0108806192874908E-2</v>
      </c>
      <c r="AI70" s="150"/>
      <c r="AJ70" s="187"/>
      <c r="AK70" s="150"/>
      <c r="AL70" s="150"/>
      <c r="AM70" s="150"/>
      <c r="AN70" s="150"/>
      <c r="AR70" s="186"/>
      <c r="AS70" s="150"/>
      <c r="AT70" s="150"/>
      <c r="AU70" s="150"/>
      <c r="AV70" s="150"/>
      <c r="AW70" s="150"/>
      <c r="AZ70" s="170"/>
      <c r="BC70" s="150"/>
      <c r="BF70" s="202"/>
      <c r="BG70" s="203" t="s">
        <v>201</v>
      </c>
      <c r="BH70" s="204">
        <f>+BH66-'[8]by Class - All Yrs'!$E$82-'[8]E13c Summary - All Years'!$D$56</f>
        <v>0</v>
      </c>
      <c r="BI70" s="150"/>
      <c r="BJ70" s="187"/>
      <c r="BK70" s="150"/>
      <c r="BL70" s="150"/>
      <c r="BM70" s="150"/>
      <c r="BN70" s="150"/>
      <c r="BR70" s="186"/>
    </row>
    <row r="71" spans="1:70" x14ac:dyDescent="0.25">
      <c r="C71" s="150"/>
      <c r="I71" s="150"/>
      <c r="J71" s="187"/>
      <c r="K71" s="150"/>
      <c r="L71" s="150"/>
      <c r="M71" s="150"/>
      <c r="N71" s="150"/>
      <c r="T71" s="167"/>
      <c r="U71" s="161"/>
      <c r="V71" s="167"/>
      <c r="W71" s="161"/>
      <c r="X71" s="167"/>
      <c r="Y71" s="161"/>
      <c r="Z71" s="170"/>
      <c r="AC71" s="150"/>
      <c r="AI71" s="150"/>
      <c r="AJ71" s="187"/>
      <c r="AK71" s="150"/>
      <c r="AL71" s="150"/>
      <c r="AM71" s="150"/>
      <c r="AN71" s="150"/>
      <c r="AX71" s="167"/>
      <c r="AY71" s="167"/>
      <c r="AZ71" s="170"/>
      <c r="BC71" s="150"/>
      <c r="BI71" s="150"/>
      <c r="BJ71" s="187"/>
      <c r="BK71" s="150"/>
      <c r="BL71" s="150"/>
      <c r="BM71" s="150"/>
      <c r="BN71" s="150"/>
    </row>
    <row r="72" spans="1:70" x14ac:dyDescent="0.25">
      <c r="C72" s="150"/>
      <c r="I72" s="150"/>
      <c r="J72" s="187"/>
      <c r="K72" s="150"/>
      <c r="L72" s="205"/>
      <c r="M72" s="150"/>
      <c r="N72" s="205"/>
      <c r="O72" s="205"/>
      <c r="P72" s="205"/>
      <c r="T72" s="167"/>
      <c r="U72" s="167"/>
      <c r="V72" s="167"/>
      <c r="W72" s="167"/>
      <c r="X72" s="167"/>
      <c r="Y72" s="167"/>
      <c r="Z72" s="170"/>
      <c r="AC72" s="150"/>
      <c r="AI72" s="150"/>
      <c r="AJ72" s="187"/>
      <c r="AK72" s="150"/>
      <c r="AL72" s="205"/>
      <c r="AM72" s="150"/>
      <c r="AN72" s="205"/>
      <c r="AO72" s="205"/>
      <c r="AP72" s="205"/>
      <c r="AS72" s="150"/>
      <c r="AT72" s="150"/>
      <c r="AU72" s="150"/>
      <c r="AV72" s="150"/>
      <c r="AW72" s="150"/>
      <c r="AX72" s="167"/>
      <c r="AY72" s="167"/>
      <c r="AZ72" s="170"/>
      <c r="BC72" s="150"/>
      <c r="BI72" s="150"/>
      <c r="BJ72" s="187"/>
      <c r="BK72" s="150"/>
      <c r="BL72" s="150"/>
      <c r="BM72" s="150"/>
      <c r="BN72" s="150"/>
    </row>
    <row r="73" spans="1:70" x14ac:dyDescent="0.25">
      <c r="C73" s="150"/>
      <c r="I73" s="150"/>
      <c r="J73" s="187"/>
      <c r="K73" s="150"/>
      <c r="L73" s="150"/>
      <c r="M73" s="150"/>
      <c r="N73" s="150"/>
      <c r="R73" s="163"/>
      <c r="S73" s="163"/>
      <c r="T73" s="167"/>
      <c r="U73" s="161"/>
      <c r="V73" s="167"/>
      <c r="W73" s="161"/>
      <c r="X73" s="167"/>
      <c r="Y73" s="161"/>
      <c r="Z73" s="170"/>
      <c r="AC73" s="150"/>
      <c r="AI73" s="150"/>
      <c r="AJ73" s="187"/>
      <c r="AK73" s="150"/>
      <c r="AL73" s="150"/>
      <c r="AM73" s="150"/>
      <c r="AN73" s="150"/>
      <c r="AR73" s="163"/>
      <c r="AX73" s="167"/>
      <c r="AY73" s="167"/>
      <c r="AZ73" s="170"/>
      <c r="BC73" s="150"/>
      <c r="BI73" s="150"/>
      <c r="BJ73" s="187"/>
      <c r="BK73" s="150"/>
      <c r="BL73" s="150"/>
      <c r="BM73" s="150"/>
      <c r="BN73" s="150"/>
      <c r="BR73" s="163"/>
    </row>
    <row r="74" spans="1:70" x14ac:dyDescent="0.25">
      <c r="C74" s="150"/>
      <c r="I74" s="150"/>
      <c r="J74" s="187"/>
      <c r="K74" s="150"/>
      <c r="L74" s="150"/>
      <c r="M74" s="150"/>
      <c r="N74" s="150"/>
      <c r="R74" s="163"/>
      <c r="S74" s="164"/>
      <c r="T74" s="167"/>
      <c r="U74" s="167"/>
      <c r="V74" s="167"/>
      <c r="W74" s="167"/>
      <c r="X74" s="167"/>
      <c r="Y74" s="167"/>
      <c r="Z74" s="170"/>
      <c r="AC74" s="150"/>
      <c r="AI74" s="150"/>
      <c r="AJ74" s="187"/>
      <c r="AK74" s="150"/>
      <c r="AL74" s="150"/>
      <c r="AM74" s="150"/>
      <c r="AN74" s="150"/>
      <c r="AR74" s="163"/>
      <c r="AS74" s="150"/>
      <c r="AT74" s="150"/>
      <c r="AU74" s="150"/>
      <c r="AV74" s="150"/>
      <c r="AW74" s="150"/>
      <c r="AZ74" s="170"/>
      <c r="BC74" s="150"/>
      <c r="BI74" s="150"/>
      <c r="BJ74" s="187"/>
      <c r="BK74" s="150"/>
      <c r="BL74" s="150"/>
      <c r="BM74" s="150"/>
      <c r="BN74" s="150"/>
      <c r="BR74" s="163"/>
    </row>
    <row r="75" spans="1:70" x14ac:dyDescent="0.25">
      <c r="C75" s="150"/>
      <c r="I75" s="150"/>
      <c r="J75" s="187"/>
      <c r="K75" s="150"/>
      <c r="L75" s="150"/>
      <c r="M75" s="150"/>
      <c r="N75" s="150"/>
      <c r="P75" s="165"/>
      <c r="Q75" s="165"/>
      <c r="R75" s="165"/>
      <c r="S75" s="165"/>
      <c r="T75" s="167"/>
      <c r="U75" s="161"/>
      <c r="V75" s="167"/>
      <c r="W75" s="161"/>
      <c r="X75" s="167"/>
      <c r="Y75" s="161"/>
      <c r="Z75" s="167"/>
      <c r="AC75" s="150"/>
      <c r="AI75" s="150"/>
      <c r="AJ75" s="187"/>
      <c r="AK75" s="150"/>
      <c r="AL75" s="150"/>
      <c r="AM75" s="150"/>
      <c r="AN75" s="150"/>
      <c r="AP75" s="165"/>
      <c r="AQ75" s="165"/>
      <c r="AR75" s="165"/>
      <c r="AZ75" s="167"/>
      <c r="BC75" s="150"/>
      <c r="BI75" s="150"/>
      <c r="BJ75" s="187"/>
      <c r="BK75" s="150"/>
      <c r="BL75" s="150"/>
      <c r="BM75" s="150"/>
      <c r="BN75" s="150"/>
      <c r="BP75" s="165"/>
      <c r="BQ75" s="165"/>
      <c r="BR75" s="165"/>
    </row>
    <row r="76" spans="1:70" x14ac:dyDescent="0.25">
      <c r="C76" s="150"/>
      <c r="D76" s="150"/>
      <c r="E76" s="150"/>
      <c r="F76" s="150"/>
      <c r="G76" s="150"/>
      <c r="H76" s="150"/>
      <c r="I76" s="150"/>
      <c r="J76" s="187"/>
      <c r="K76" s="150"/>
      <c r="L76" s="150"/>
      <c r="M76" s="150"/>
      <c r="N76" s="150"/>
      <c r="P76" s="165"/>
      <c r="Q76" s="165"/>
      <c r="R76" s="165"/>
      <c r="S76" s="165"/>
      <c r="T76" s="167"/>
      <c r="U76" s="167"/>
      <c r="V76" s="167"/>
      <c r="W76" s="167"/>
      <c r="X76" s="167"/>
      <c r="Y76" s="167"/>
      <c r="Z76" s="167"/>
      <c r="AC76" s="150"/>
      <c r="AD76" s="150"/>
      <c r="AE76" s="150"/>
      <c r="AF76" s="150"/>
      <c r="AG76" s="150"/>
      <c r="AH76" s="150"/>
      <c r="AI76" s="150"/>
      <c r="AJ76" s="187"/>
      <c r="AK76" s="150"/>
      <c r="AL76" s="150"/>
      <c r="AM76" s="150"/>
      <c r="AN76" s="150"/>
      <c r="AP76" s="165"/>
      <c r="AQ76" s="165"/>
      <c r="AR76" s="165"/>
      <c r="AS76" s="150"/>
      <c r="AT76" s="150"/>
      <c r="AU76" s="150"/>
      <c r="AV76" s="150"/>
      <c r="AW76" s="150"/>
      <c r="AZ76" s="167"/>
      <c r="BC76" s="150"/>
      <c r="BD76" s="150"/>
      <c r="BE76" s="150"/>
      <c r="BF76" s="150"/>
      <c r="BG76" s="150"/>
      <c r="BH76" s="150"/>
      <c r="BI76" s="150"/>
      <c r="BJ76" s="187"/>
      <c r="BK76" s="150"/>
      <c r="BL76" s="150"/>
      <c r="BM76" s="150"/>
      <c r="BN76" s="150"/>
      <c r="BP76" s="165"/>
      <c r="BQ76" s="165"/>
      <c r="BR76" s="165"/>
    </row>
    <row r="77" spans="1:70" x14ac:dyDescent="0.25">
      <c r="C77" s="150"/>
      <c r="D77" s="150"/>
      <c r="E77" s="150"/>
      <c r="F77" s="150"/>
      <c r="G77" s="150"/>
      <c r="H77" s="150"/>
      <c r="I77" s="150"/>
      <c r="J77" s="187"/>
      <c r="K77" s="150"/>
      <c r="L77" s="150"/>
      <c r="M77" s="150"/>
      <c r="N77" s="150"/>
      <c r="P77" s="165"/>
      <c r="Q77" s="165"/>
      <c r="S77" s="150"/>
      <c r="T77" s="167"/>
      <c r="U77" s="161"/>
      <c r="V77" s="167"/>
      <c r="W77" s="161"/>
      <c r="X77" s="167"/>
      <c r="Y77" s="161"/>
      <c r="Z77" s="167"/>
      <c r="AC77" s="150"/>
      <c r="AD77" s="150"/>
      <c r="AE77" s="150"/>
      <c r="AF77" s="150"/>
      <c r="AG77" s="150"/>
      <c r="AH77" s="150"/>
      <c r="AI77" s="150"/>
      <c r="AJ77" s="187"/>
      <c r="AK77" s="150"/>
      <c r="AL77" s="150"/>
      <c r="AM77" s="150"/>
      <c r="AN77" s="150"/>
      <c r="AP77" s="165"/>
      <c r="AQ77" s="165"/>
      <c r="AZ77" s="167"/>
      <c r="BC77" s="150"/>
      <c r="BD77" s="150"/>
      <c r="BE77" s="150"/>
      <c r="BF77" s="150"/>
      <c r="BG77" s="150"/>
      <c r="BH77" s="150"/>
      <c r="BI77" s="150"/>
      <c r="BJ77" s="187"/>
      <c r="BK77" s="150"/>
      <c r="BL77" s="150"/>
      <c r="BM77" s="150"/>
      <c r="BN77" s="150"/>
      <c r="BP77" s="165"/>
      <c r="BQ77" s="165"/>
    </row>
    <row r="78" spans="1:70" x14ac:dyDescent="0.25">
      <c r="C78" s="150"/>
      <c r="D78" s="150"/>
      <c r="E78" s="150"/>
      <c r="F78" s="150"/>
      <c r="G78" s="150"/>
      <c r="H78" s="150"/>
      <c r="I78" s="150"/>
      <c r="J78" s="187"/>
      <c r="K78" s="150"/>
      <c r="L78" s="150"/>
      <c r="M78" s="150"/>
      <c r="N78" s="150"/>
      <c r="R78" s="150"/>
      <c r="S78" s="150"/>
      <c r="T78" s="167"/>
      <c r="U78" s="167"/>
      <c r="V78" s="167"/>
      <c r="W78" s="167"/>
      <c r="X78" s="167"/>
      <c r="Y78" s="167"/>
      <c r="Z78" s="167"/>
      <c r="AC78" s="150"/>
      <c r="AD78" s="150"/>
      <c r="AE78" s="150"/>
      <c r="AF78" s="150"/>
      <c r="AG78" s="150"/>
      <c r="AH78" s="150"/>
      <c r="AI78" s="150"/>
      <c r="AJ78" s="187"/>
      <c r="AK78" s="150"/>
      <c r="AL78" s="150"/>
      <c r="AM78" s="150"/>
      <c r="AN78" s="150"/>
      <c r="AR78" s="150"/>
      <c r="AS78" s="150"/>
      <c r="AT78" s="150"/>
      <c r="AU78" s="150"/>
      <c r="AV78" s="150"/>
      <c r="AW78" s="150"/>
      <c r="AZ78" s="167"/>
      <c r="BC78" s="150"/>
      <c r="BD78" s="150"/>
      <c r="BE78" s="150"/>
      <c r="BF78" s="150"/>
      <c r="BG78" s="150"/>
      <c r="BH78" s="150"/>
      <c r="BI78" s="150"/>
      <c r="BJ78" s="187"/>
      <c r="BK78" s="150"/>
      <c r="BL78" s="150"/>
      <c r="BM78" s="150"/>
      <c r="BN78" s="150"/>
      <c r="BR78" s="150"/>
    </row>
    <row r="79" spans="1:70" x14ac:dyDescent="0.25">
      <c r="C79" s="150"/>
      <c r="D79" s="150"/>
      <c r="E79" s="150"/>
      <c r="F79" s="150"/>
      <c r="G79" s="150"/>
      <c r="H79" s="150"/>
      <c r="I79" s="150"/>
      <c r="J79" s="187"/>
      <c r="K79" s="150"/>
      <c r="L79" s="150"/>
      <c r="M79" s="150"/>
      <c r="N79" s="150"/>
      <c r="P79" s="186"/>
      <c r="Q79" s="186"/>
      <c r="R79" s="150"/>
      <c r="S79" s="150"/>
      <c r="T79" s="167"/>
      <c r="U79" s="161"/>
      <c r="V79" s="167"/>
      <c r="W79" s="161"/>
      <c r="X79" s="167"/>
      <c r="Y79" s="161"/>
      <c r="Z79" s="167"/>
      <c r="AC79" s="150"/>
      <c r="AD79" s="150"/>
      <c r="AE79" s="150"/>
      <c r="AF79" s="150"/>
      <c r="AG79" s="150"/>
      <c r="AH79" s="150"/>
      <c r="AI79" s="150"/>
      <c r="AJ79" s="187"/>
      <c r="AK79" s="150"/>
      <c r="AL79" s="150"/>
      <c r="AM79" s="150"/>
      <c r="AN79" s="150"/>
      <c r="AP79" s="186"/>
      <c r="AQ79" s="186"/>
      <c r="AR79" s="150"/>
      <c r="AZ79" s="167"/>
      <c r="BC79" s="150"/>
      <c r="BD79" s="150"/>
      <c r="BE79" s="150"/>
      <c r="BF79" s="150"/>
      <c r="BG79" s="150"/>
      <c r="BH79" s="150"/>
      <c r="BI79" s="150"/>
      <c r="BJ79" s="187"/>
      <c r="BK79" s="150"/>
      <c r="BL79" s="150"/>
      <c r="BM79" s="150"/>
      <c r="BN79" s="150"/>
      <c r="BP79" s="186"/>
      <c r="BQ79" s="186"/>
      <c r="BR79" s="150"/>
    </row>
    <row r="80" spans="1:70" x14ac:dyDescent="0.25">
      <c r="C80" s="150"/>
      <c r="D80" s="150"/>
      <c r="E80" s="150"/>
      <c r="F80" s="150"/>
      <c r="G80" s="150"/>
      <c r="H80" s="150"/>
      <c r="I80" s="150"/>
      <c r="J80" s="187"/>
      <c r="K80" s="150"/>
      <c r="L80" s="150"/>
      <c r="M80" s="150"/>
      <c r="N80" s="150"/>
      <c r="P80" s="150"/>
      <c r="Q80" s="150"/>
      <c r="R80" s="206"/>
      <c r="S80" s="150"/>
      <c r="T80" s="167"/>
      <c r="U80" s="167"/>
      <c r="V80" s="167"/>
      <c r="W80" s="167"/>
      <c r="X80" s="167"/>
      <c r="Y80" s="167"/>
      <c r="Z80" s="167"/>
      <c r="AC80" s="150"/>
      <c r="AD80" s="150"/>
      <c r="AE80" s="150"/>
      <c r="AF80" s="150"/>
      <c r="AG80" s="150"/>
      <c r="AH80" s="150"/>
      <c r="AI80" s="150"/>
      <c r="AJ80" s="187"/>
      <c r="AK80" s="150"/>
      <c r="AL80" s="150"/>
      <c r="AM80" s="150"/>
      <c r="AN80" s="150"/>
      <c r="AP80" s="150"/>
      <c r="AQ80" s="150"/>
      <c r="AR80" s="206"/>
      <c r="AS80" s="150"/>
      <c r="AT80" s="150"/>
      <c r="AU80" s="150"/>
      <c r="AV80" s="150"/>
      <c r="AW80" s="150"/>
      <c r="AZ80" s="167"/>
      <c r="BC80" s="150"/>
      <c r="BD80" s="150"/>
      <c r="BE80" s="150"/>
      <c r="BF80" s="150"/>
      <c r="BG80" s="150"/>
      <c r="BH80" s="150"/>
      <c r="BI80" s="150"/>
      <c r="BJ80" s="187"/>
      <c r="BK80" s="150"/>
      <c r="BL80" s="150"/>
      <c r="BM80" s="150"/>
      <c r="BN80" s="150"/>
      <c r="BP80" s="150"/>
      <c r="BQ80" s="150"/>
      <c r="BR80" s="206"/>
    </row>
    <row r="81" spans="3:70" x14ac:dyDescent="0.25">
      <c r="C81" s="150"/>
      <c r="D81" s="150"/>
      <c r="E81" s="150"/>
      <c r="F81" s="150"/>
      <c r="G81" s="150"/>
      <c r="H81" s="150"/>
      <c r="I81" s="150"/>
      <c r="J81" s="187"/>
      <c r="K81" s="150"/>
      <c r="L81" s="150"/>
      <c r="M81" s="150"/>
      <c r="N81" s="150"/>
      <c r="P81" s="150"/>
      <c r="Q81" s="150"/>
      <c r="R81" s="188"/>
      <c r="S81" s="150"/>
      <c r="T81" s="167"/>
      <c r="U81" s="167"/>
      <c r="V81" s="167"/>
      <c r="W81" s="167"/>
      <c r="X81" s="167"/>
      <c r="Y81" s="167"/>
      <c r="Z81" s="167"/>
      <c r="AC81" s="150"/>
      <c r="AD81" s="150"/>
      <c r="AE81" s="150"/>
      <c r="AF81" s="150"/>
      <c r="AG81" s="150"/>
      <c r="AH81" s="150"/>
      <c r="AI81" s="150"/>
      <c r="AJ81" s="187"/>
      <c r="AK81" s="150"/>
      <c r="AL81" s="150"/>
      <c r="AM81" s="150"/>
      <c r="AN81" s="150"/>
      <c r="AP81" s="150"/>
      <c r="AQ81" s="150"/>
      <c r="AR81" s="188"/>
      <c r="AS81" s="150"/>
      <c r="AT81" s="150"/>
      <c r="AU81" s="150"/>
      <c r="AV81" s="150"/>
      <c r="AW81" s="150"/>
      <c r="AZ81" s="167"/>
      <c r="BC81" s="150"/>
      <c r="BD81" s="150"/>
      <c r="BE81" s="150"/>
      <c r="BF81" s="150"/>
      <c r="BG81" s="150"/>
      <c r="BH81" s="150"/>
      <c r="BI81" s="150"/>
      <c r="BJ81" s="187"/>
      <c r="BK81" s="150"/>
      <c r="BL81" s="150"/>
      <c r="BM81" s="150"/>
      <c r="BN81" s="150"/>
      <c r="BP81" s="150"/>
      <c r="BQ81" s="150"/>
      <c r="BR81" s="188"/>
    </row>
    <row r="82" spans="3:70" x14ac:dyDescent="0.25">
      <c r="C82" s="150"/>
      <c r="D82" s="150"/>
      <c r="E82" s="150"/>
      <c r="F82" s="150"/>
      <c r="G82" s="150"/>
      <c r="H82" s="150"/>
      <c r="I82" s="150"/>
      <c r="J82" s="187"/>
      <c r="K82" s="150"/>
      <c r="L82" s="150"/>
      <c r="M82" s="150"/>
      <c r="N82" s="150"/>
      <c r="P82" s="167"/>
      <c r="Q82" s="167"/>
      <c r="R82" s="150"/>
      <c r="S82" s="150"/>
      <c r="T82" s="167"/>
      <c r="U82" s="161"/>
      <c r="V82" s="167"/>
      <c r="W82" s="161"/>
      <c r="X82" s="167"/>
      <c r="Y82" s="161"/>
      <c r="Z82" s="167"/>
      <c r="AC82" s="150"/>
      <c r="AD82" s="150"/>
      <c r="AE82" s="150"/>
      <c r="AF82" s="150"/>
      <c r="AG82" s="150"/>
      <c r="AH82" s="150"/>
      <c r="AI82" s="150"/>
      <c r="AJ82" s="187"/>
      <c r="AK82" s="150"/>
      <c r="AL82" s="150"/>
      <c r="AM82" s="150"/>
      <c r="AN82" s="150"/>
      <c r="AP82" s="167"/>
      <c r="AQ82" s="167"/>
      <c r="AR82" s="150"/>
      <c r="AZ82" s="167"/>
      <c r="BC82" s="150"/>
      <c r="BD82" s="150"/>
      <c r="BE82" s="150"/>
      <c r="BF82" s="150"/>
      <c r="BG82" s="150"/>
      <c r="BH82" s="150"/>
      <c r="BI82" s="150"/>
      <c r="BJ82" s="187"/>
      <c r="BK82" s="150"/>
      <c r="BL82" s="150"/>
      <c r="BM82" s="150"/>
      <c r="BN82" s="150"/>
      <c r="BP82" s="167"/>
      <c r="BQ82" s="167"/>
      <c r="BR82" s="150"/>
    </row>
    <row r="83" spans="3:70" x14ac:dyDescent="0.25">
      <c r="C83" s="150"/>
      <c r="D83" s="150"/>
      <c r="E83" s="150"/>
      <c r="F83" s="150"/>
      <c r="G83" s="150"/>
      <c r="H83" s="150"/>
      <c r="I83" s="150"/>
      <c r="J83" s="187"/>
      <c r="K83" s="150"/>
      <c r="L83" s="150"/>
      <c r="M83" s="150"/>
      <c r="N83" s="150"/>
      <c r="P83" s="167"/>
      <c r="Q83" s="167"/>
      <c r="R83" s="150"/>
      <c r="S83" s="150"/>
      <c r="T83" s="167"/>
      <c r="U83" s="167"/>
      <c r="V83" s="167"/>
      <c r="W83" s="167"/>
      <c r="X83" s="167"/>
      <c r="Y83" s="167"/>
      <c r="Z83" s="167"/>
      <c r="AC83" s="150"/>
      <c r="AD83" s="150"/>
      <c r="AE83" s="150"/>
      <c r="AF83" s="150"/>
      <c r="AG83" s="150"/>
      <c r="AH83" s="150"/>
      <c r="AI83" s="150"/>
      <c r="AJ83" s="187"/>
      <c r="AK83" s="150"/>
      <c r="AL83" s="150"/>
      <c r="AM83" s="150"/>
      <c r="AN83" s="150"/>
      <c r="AP83" s="167"/>
      <c r="AQ83" s="167"/>
      <c r="AR83" s="150"/>
      <c r="AS83" s="150"/>
      <c r="AT83" s="150"/>
      <c r="AU83" s="150"/>
      <c r="AV83" s="150"/>
      <c r="AW83" s="150"/>
      <c r="AZ83" s="167"/>
      <c r="BC83" s="150"/>
      <c r="BD83" s="150"/>
      <c r="BE83" s="150"/>
      <c r="BF83" s="150"/>
      <c r="BG83" s="150"/>
      <c r="BH83" s="150"/>
      <c r="BI83" s="150"/>
      <c r="BJ83" s="187"/>
      <c r="BK83" s="150"/>
      <c r="BL83" s="150"/>
      <c r="BM83" s="150"/>
      <c r="BN83" s="150"/>
      <c r="BP83" s="167"/>
      <c r="BQ83" s="167"/>
      <c r="BR83" s="150"/>
    </row>
    <row r="84" spans="3:70" x14ac:dyDescent="0.25">
      <c r="C84" s="150"/>
      <c r="D84" s="150"/>
      <c r="E84" s="150"/>
      <c r="F84" s="150"/>
      <c r="G84" s="150"/>
      <c r="H84" s="150"/>
      <c r="I84" s="150"/>
      <c r="J84" s="187"/>
      <c r="K84" s="150"/>
      <c r="L84" s="150"/>
      <c r="M84" s="150"/>
      <c r="N84" s="150"/>
      <c r="P84" s="167"/>
      <c r="Q84" s="167"/>
      <c r="R84" s="150"/>
      <c r="S84" s="150"/>
      <c r="T84" s="167"/>
      <c r="U84" s="161"/>
      <c r="V84" s="167"/>
      <c r="W84" s="161"/>
      <c r="X84" s="167"/>
      <c r="Y84" s="161"/>
      <c r="Z84" s="167"/>
      <c r="AC84" s="150"/>
      <c r="AD84" s="150"/>
      <c r="AE84" s="150"/>
      <c r="AF84" s="150"/>
      <c r="AG84" s="150"/>
      <c r="AH84" s="150"/>
      <c r="AI84" s="150"/>
      <c r="AJ84" s="187"/>
      <c r="AK84" s="150"/>
      <c r="AL84" s="150"/>
      <c r="AM84" s="150"/>
      <c r="AN84" s="150"/>
      <c r="AP84" s="167"/>
      <c r="AQ84" s="167"/>
      <c r="AR84" s="150"/>
      <c r="AZ84" s="167"/>
      <c r="BC84" s="150"/>
      <c r="BD84" s="150"/>
      <c r="BE84" s="150"/>
      <c r="BF84" s="150"/>
      <c r="BG84" s="150"/>
      <c r="BH84" s="150"/>
      <c r="BI84" s="150"/>
      <c r="BJ84" s="187"/>
      <c r="BK84" s="150"/>
      <c r="BL84" s="150"/>
      <c r="BM84" s="150"/>
      <c r="BN84" s="150"/>
      <c r="BP84" s="167"/>
      <c r="BQ84" s="167"/>
      <c r="BR84" s="150"/>
    </row>
    <row r="85" spans="3:70" x14ac:dyDescent="0.25">
      <c r="C85" s="150"/>
      <c r="D85" s="150"/>
      <c r="E85" s="150"/>
      <c r="F85" s="150"/>
      <c r="G85" s="150"/>
      <c r="H85" s="150"/>
      <c r="I85" s="150"/>
      <c r="J85" s="187"/>
      <c r="K85" s="150"/>
      <c r="L85" s="150"/>
      <c r="M85" s="150"/>
      <c r="N85" s="150"/>
      <c r="P85" s="167"/>
      <c r="Q85" s="167"/>
      <c r="R85" s="150"/>
      <c r="S85" s="150"/>
      <c r="T85" s="167"/>
      <c r="U85" s="167"/>
      <c r="V85" s="167"/>
      <c r="W85" s="167"/>
      <c r="X85" s="167"/>
      <c r="Y85" s="167"/>
      <c r="Z85" s="167"/>
      <c r="AC85" s="150"/>
      <c r="AD85" s="150"/>
      <c r="AE85" s="150"/>
      <c r="AF85" s="150"/>
      <c r="AG85" s="150"/>
      <c r="AH85" s="150"/>
      <c r="AI85" s="150"/>
      <c r="AJ85" s="187"/>
      <c r="AK85" s="150"/>
      <c r="AL85" s="150"/>
      <c r="AM85" s="150"/>
      <c r="AN85" s="150"/>
      <c r="AP85" s="167"/>
      <c r="AQ85" s="167"/>
      <c r="AR85" s="150"/>
      <c r="AS85" s="150"/>
      <c r="AT85" s="150"/>
      <c r="AU85" s="150"/>
      <c r="AV85" s="150"/>
      <c r="AW85" s="150"/>
      <c r="AZ85" s="167"/>
      <c r="BC85" s="150"/>
      <c r="BD85" s="150"/>
      <c r="BE85" s="150"/>
      <c r="BF85" s="150"/>
      <c r="BG85" s="150"/>
      <c r="BH85" s="150"/>
      <c r="BI85" s="150"/>
      <c r="BJ85" s="187"/>
      <c r="BK85" s="150"/>
      <c r="BL85" s="150"/>
      <c r="BM85" s="150"/>
      <c r="BN85" s="150"/>
      <c r="BP85" s="167"/>
      <c r="BQ85" s="167"/>
      <c r="BR85" s="150"/>
    </row>
    <row r="86" spans="3:70" x14ac:dyDescent="0.25">
      <c r="C86" s="150"/>
      <c r="D86" s="150"/>
      <c r="E86" s="150"/>
      <c r="F86" s="150"/>
      <c r="G86" s="150"/>
      <c r="H86" s="150"/>
      <c r="I86" s="150"/>
      <c r="J86" s="187"/>
      <c r="K86" s="150"/>
      <c r="L86" s="150"/>
      <c r="M86" s="150"/>
      <c r="N86" s="150"/>
      <c r="P86" s="167"/>
      <c r="Q86" s="167"/>
      <c r="R86" s="186"/>
      <c r="S86" s="150"/>
      <c r="T86" s="167"/>
      <c r="U86" s="161"/>
      <c r="V86" s="167"/>
      <c r="W86" s="161"/>
      <c r="X86" s="167"/>
      <c r="Y86" s="161"/>
      <c r="Z86" s="167"/>
      <c r="AC86" s="150"/>
      <c r="AD86" s="150"/>
      <c r="AE86" s="150"/>
      <c r="AF86" s="150"/>
      <c r="AG86" s="150"/>
      <c r="AH86" s="150"/>
      <c r="AI86" s="150"/>
      <c r="AJ86" s="187"/>
      <c r="AK86" s="150"/>
      <c r="AL86" s="150"/>
      <c r="AM86" s="150"/>
      <c r="AN86" s="150"/>
      <c r="AP86" s="167"/>
      <c r="AQ86" s="167"/>
      <c r="AR86" s="186"/>
      <c r="AZ86" s="167"/>
      <c r="BC86" s="150"/>
      <c r="BD86" s="150"/>
      <c r="BE86" s="150"/>
      <c r="BF86" s="150"/>
      <c r="BG86" s="150"/>
      <c r="BH86" s="150"/>
      <c r="BI86" s="150"/>
      <c r="BJ86" s="187"/>
      <c r="BK86" s="150"/>
      <c r="BL86" s="150"/>
      <c r="BM86" s="150"/>
      <c r="BN86" s="150"/>
      <c r="BP86" s="167"/>
      <c r="BQ86" s="167"/>
      <c r="BR86" s="186"/>
    </row>
    <row r="87" spans="3:70" x14ac:dyDescent="0.25">
      <c r="C87" s="150"/>
      <c r="D87" s="150"/>
      <c r="E87" s="150"/>
      <c r="F87" s="150"/>
      <c r="G87" s="150"/>
      <c r="H87" s="150"/>
      <c r="I87" s="150"/>
      <c r="J87" s="187"/>
      <c r="K87" s="150"/>
      <c r="L87" s="150"/>
      <c r="M87" s="150"/>
      <c r="N87" s="150"/>
      <c r="P87" s="167"/>
      <c r="Q87" s="167"/>
      <c r="R87" s="186"/>
      <c r="S87" s="150"/>
      <c r="T87" s="167"/>
      <c r="U87" s="167"/>
      <c r="V87" s="167"/>
      <c r="W87" s="167"/>
      <c r="X87" s="167"/>
      <c r="Y87" s="167"/>
      <c r="Z87" s="167"/>
      <c r="AC87" s="150"/>
      <c r="AD87" s="150"/>
      <c r="AE87" s="150"/>
      <c r="AF87" s="150"/>
      <c r="AG87" s="150"/>
      <c r="AH87" s="150"/>
      <c r="AI87" s="150"/>
      <c r="AJ87" s="187"/>
      <c r="AK87" s="150"/>
      <c r="AL87" s="150"/>
      <c r="AM87" s="150"/>
      <c r="AN87" s="150"/>
      <c r="AP87" s="167"/>
      <c r="AQ87" s="167"/>
      <c r="AR87" s="186"/>
      <c r="AS87" s="150"/>
      <c r="AT87" s="150"/>
      <c r="AU87" s="150"/>
      <c r="AV87" s="150"/>
      <c r="AW87" s="150"/>
      <c r="AZ87" s="167"/>
      <c r="BC87" s="150"/>
      <c r="BD87" s="150"/>
      <c r="BE87" s="150"/>
      <c r="BF87" s="150"/>
      <c r="BG87" s="150"/>
      <c r="BH87" s="150"/>
      <c r="BI87" s="150"/>
      <c r="BJ87" s="187"/>
      <c r="BK87" s="150"/>
      <c r="BL87" s="150"/>
      <c r="BM87" s="150"/>
      <c r="BN87" s="150"/>
      <c r="BP87" s="167"/>
      <c r="BQ87" s="167"/>
      <c r="BR87" s="186"/>
    </row>
    <row r="88" spans="3:70" x14ac:dyDescent="0.25">
      <c r="C88" s="150"/>
      <c r="D88" s="150"/>
      <c r="E88" s="150"/>
      <c r="F88" s="150"/>
      <c r="G88" s="150"/>
      <c r="H88" s="150"/>
      <c r="I88" s="150"/>
      <c r="J88" s="187"/>
      <c r="K88" s="150"/>
      <c r="L88" s="150"/>
      <c r="M88" s="150"/>
      <c r="N88" s="150"/>
      <c r="P88" s="167"/>
      <c r="Q88" s="167"/>
      <c r="R88" s="186"/>
      <c r="S88" s="150"/>
      <c r="T88" s="167"/>
      <c r="U88" s="167"/>
      <c r="V88" s="167"/>
      <c r="W88" s="167"/>
      <c r="X88" s="167"/>
      <c r="Y88" s="167"/>
      <c r="Z88" s="167"/>
      <c r="AC88" s="150"/>
      <c r="AD88" s="150"/>
      <c r="AE88" s="150"/>
      <c r="AF88" s="150"/>
      <c r="AG88" s="150"/>
      <c r="AH88" s="150"/>
      <c r="AI88" s="150"/>
      <c r="AJ88" s="187"/>
      <c r="AK88" s="150"/>
      <c r="AL88" s="150"/>
      <c r="AM88" s="150"/>
      <c r="AN88" s="150"/>
      <c r="AP88" s="167"/>
      <c r="AQ88" s="167"/>
      <c r="AR88" s="186"/>
      <c r="AS88" s="150"/>
      <c r="AT88" s="150"/>
      <c r="AU88" s="150"/>
      <c r="AV88" s="150"/>
      <c r="AW88" s="150"/>
      <c r="AZ88" s="167"/>
      <c r="BC88" s="150"/>
      <c r="BD88" s="150"/>
      <c r="BE88" s="150"/>
      <c r="BF88" s="150"/>
      <c r="BG88" s="150"/>
      <c r="BH88" s="150"/>
      <c r="BI88" s="150"/>
      <c r="BJ88" s="187"/>
      <c r="BK88" s="150"/>
      <c r="BL88" s="150"/>
      <c r="BM88" s="150"/>
      <c r="BN88" s="150"/>
      <c r="BP88" s="167"/>
      <c r="BQ88" s="167"/>
      <c r="BR88" s="186"/>
    </row>
    <row r="89" spans="3:70" x14ac:dyDescent="0.25">
      <c r="C89" s="150"/>
      <c r="D89" s="150"/>
      <c r="E89" s="150"/>
      <c r="F89" s="150"/>
      <c r="G89" s="150"/>
      <c r="H89" s="150"/>
      <c r="I89" s="150"/>
      <c r="J89" s="187"/>
      <c r="K89" s="150"/>
      <c r="L89" s="150"/>
      <c r="M89" s="150"/>
      <c r="N89" s="150"/>
      <c r="P89" s="167"/>
      <c r="Q89" s="167"/>
      <c r="R89" s="186"/>
      <c r="S89" s="150"/>
      <c r="T89" s="167"/>
      <c r="U89" s="167"/>
      <c r="V89" s="167"/>
      <c r="W89" s="167"/>
      <c r="X89" s="167"/>
      <c r="Y89" s="167"/>
      <c r="Z89" s="167"/>
      <c r="AC89" s="150"/>
      <c r="AD89" s="150"/>
      <c r="AE89" s="150"/>
      <c r="AF89" s="150"/>
      <c r="AG89" s="150"/>
      <c r="AH89" s="150"/>
      <c r="AI89" s="150"/>
      <c r="AJ89" s="187"/>
      <c r="AK89" s="150"/>
      <c r="AL89" s="150"/>
      <c r="AM89" s="150"/>
      <c r="AN89" s="150"/>
      <c r="AP89" s="167"/>
      <c r="AQ89" s="167"/>
      <c r="AR89" s="186"/>
      <c r="AS89" s="150"/>
      <c r="AT89" s="150"/>
      <c r="AU89" s="150"/>
      <c r="AV89" s="150"/>
      <c r="AW89" s="150"/>
      <c r="AZ89" s="167"/>
      <c r="BC89" s="150"/>
      <c r="BD89" s="150"/>
      <c r="BE89" s="150"/>
      <c r="BF89" s="150"/>
      <c r="BG89" s="150"/>
      <c r="BH89" s="150"/>
      <c r="BI89" s="150"/>
      <c r="BJ89" s="187"/>
      <c r="BK89" s="150"/>
      <c r="BL89" s="150"/>
      <c r="BM89" s="150"/>
      <c r="BN89" s="150"/>
      <c r="BP89" s="167"/>
      <c r="BQ89" s="167"/>
      <c r="BR89" s="186"/>
    </row>
    <row r="90" spans="3:70" x14ac:dyDescent="0.25">
      <c r="C90" s="150"/>
      <c r="D90" s="150"/>
      <c r="E90" s="150"/>
      <c r="F90" s="150"/>
      <c r="G90" s="150"/>
      <c r="H90" s="150"/>
      <c r="I90" s="150"/>
      <c r="J90" s="187"/>
      <c r="K90" s="150"/>
      <c r="L90" s="150"/>
      <c r="M90" s="150"/>
      <c r="N90" s="150"/>
      <c r="P90" s="167"/>
      <c r="Q90" s="167"/>
      <c r="R90" s="186"/>
      <c r="S90" s="150"/>
      <c r="T90" s="167"/>
      <c r="U90" s="167"/>
      <c r="V90" s="167"/>
      <c r="W90" s="167"/>
      <c r="X90" s="167"/>
      <c r="Y90" s="167"/>
      <c r="Z90" s="167"/>
      <c r="AC90" s="150"/>
      <c r="AD90" s="150"/>
      <c r="AE90" s="150"/>
      <c r="AF90" s="150"/>
      <c r="AG90" s="150"/>
      <c r="AH90" s="150"/>
      <c r="AI90" s="150"/>
      <c r="AJ90" s="187"/>
      <c r="AK90" s="150"/>
      <c r="AL90" s="150"/>
      <c r="AM90" s="150"/>
      <c r="AN90" s="150"/>
      <c r="AP90" s="167"/>
      <c r="AQ90" s="167"/>
      <c r="AR90" s="186"/>
      <c r="AS90" s="150"/>
      <c r="AT90" s="150"/>
      <c r="AU90" s="150"/>
      <c r="AV90" s="150"/>
      <c r="AW90" s="150"/>
      <c r="AZ90" s="167"/>
      <c r="BC90" s="150"/>
      <c r="BD90" s="150"/>
      <c r="BE90" s="150"/>
      <c r="BF90" s="150"/>
      <c r="BG90" s="150"/>
      <c r="BH90" s="150"/>
      <c r="BI90" s="150"/>
      <c r="BJ90" s="187"/>
      <c r="BK90" s="150"/>
      <c r="BL90" s="150"/>
      <c r="BM90" s="150"/>
      <c r="BN90" s="150"/>
      <c r="BP90" s="167"/>
      <c r="BQ90" s="167"/>
      <c r="BR90" s="186"/>
    </row>
    <row r="91" spans="3:70" x14ac:dyDescent="0.25">
      <c r="C91" s="150"/>
      <c r="D91" s="150"/>
      <c r="E91" s="150"/>
      <c r="F91" s="150"/>
      <c r="G91" s="150"/>
      <c r="H91" s="150"/>
      <c r="I91" s="150"/>
      <c r="J91" s="187"/>
      <c r="K91" s="150"/>
      <c r="L91" s="150"/>
      <c r="M91" s="150"/>
      <c r="N91" s="150"/>
      <c r="P91" s="167"/>
      <c r="Q91" s="167"/>
      <c r="S91" s="150"/>
      <c r="T91" s="167"/>
      <c r="U91" s="161"/>
      <c r="V91" s="167"/>
      <c r="W91" s="161"/>
      <c r="X91" s="167"/>
      <c r="Y91" s="161"/>
      <c r="Z91" s="167"/>
      <c r="AC91" s="150"/>
      <c r="AD91" s="150"/>
      <c r="AE91" s="150"/>
      <c r="AF91" s="150"/>
      <c r="AG91" s="150"/>
      <c r="AH91" s="150"/>
      <c r="AI91" s="150"/>
      <c r="AJ91" s="187"/>
      <c r="AK91" s="150"/>
      <c r="AL91" s="150"/>
      <c r="AM91" s="150"/>
      <c r="AN91" s="150"/>
      <c r="AP91" s="167"/>
      <c r="AQ91" s="167"/>
      <c r="AZ91" s="167"/>
      <c r="BC91" s="150"/>
      <c r="BD91" s="150"/>
      <c r="BE91" s="150"/>
      <c r="BF91" s="150"/>
      <c r="BG91" s="150"/>
      <c r="BH91" s="150"/>
      <c r="BI91" s="150"/>
      <c r="BJ91" s="187"/>
      <c r="BK91" s="150"/>
      <c r="BL91" s="150"/>
      <c r="BM91" s="150"/>
      <c r="BN91" s="150"/>
      <c r="BP91" s="167"/>
      <c r="BQ91" s="167"/>
    </row>
    <row r="92" spans="3:70" x14ac:dyDescent="0.25">
      <c r="C92" s="150"/>
      <c r="D92" s="150"/>
      <c r="E92" s="150"/>
      <c r="F92" s="150"/>
      <c r="G92" s="150"/>
      <c r="H92" s="150"/>
      <c r="I92" s="150"/>
      <c r="J92" s="187"/>
      <c r="K92" s="150"/>
      <c r="L92" s="150"/>
      <c r="M92" s="150"/>
      <c r="N92" s="150"/>
      <c r="P92" s="150"/>
      <c r="Q92" s="150"/>
      <c r="R92" s="188"/>
      <c r="S92" s="150"/>
      <c r="T92" s="167"/>
      <c r="U92" s="167"/>
      <c r="V92" s="167"/>
      <c r="W92" s="167"/>
      <c r="X92" s="167"/>
      <c r="Y92" s="167"/>
      <c r="Z92" s="167"/>
      <c r="AC92" s="150"/>
      <c r="AD92" s="150"/>
      <c r="AE92" s="150"/>
      <c r="AF92" s="150"/>
      <c r="AG92" s="150"/>
      <c r="AH92" s="150"/>
      <c r="AI92" s="150"/>
      <c r="AJ92" s="187"/>
      <c r="AK92" s="150"/>
      <c r="AL92" s="150"/>
      <c r="AM92" s="150"/>
      <c r="AN92" s="150"/>
      <c r="AP92" s="150"/>
      <c r="AQ92" s="150"/>
      <c r="AR92" s="188"/>
      <c r="AS92" s="150"/>
      <c r="AT92" s="150"/>
      <c r="AU92" s="150"/>
      <c r="AV92" s="150"/>
      <c r="AW92" s="150"/>
      <c r="AZ92" s="167"/>
      <c r="BC92" s="150"/>
      <c r="BD92" s="150"/>
      <c r="BE92" s="150"/>
      <c r="BF92" s="150"/>
      <c r="BG92" s="150"/>
      <c r="BH92" s="150"/>
      <c r="BI92" s="150"/>
      <c r="BJ92" s="187"/>
      <c r="BK92" s="150"/>
      <c r="BL92" s="150"/>
      <c r="BM92" s="150"/>
      <c r="BN92" s="150"/>
      <c r="BP92" s="150"/>
      <c r="BQ92" s="150"/>
      <c r="BR92" s="188"/>
    </row>
    <row r="93" spans="3:70" x14ac:dyDescent="0.25">
      <c r="C93" s="150"/>
      <c r="D93" s="150"/>
      <c r="E93" s="150"/>
      <c r="F93" s="150"/>
      <c r="G93" s="150"/>
      <c r="H93" s="150"/>
      <c r="I93" s="150"/>
      <c r="J93" s="187"/>
      <c r="K93" s="150"/>
      <c r="L93" s="150"/>
      <c r="M93" s="150"/>
      <c r="N93" s="150"/>
      <c r="P93" s="150"/>
      <c r="Q93" s="150"/>
      <c r="R93" s="150"/>
      <c r="S93" s="150"/>
      <c r="T93" s="167"/>
      <c r="U93" s="161"/>
      <c r="V93" s="167"/>
      <c r="W93" s="161"/>
      <c r="X93" s="167"/>
      <c r="Y93" s="161"/>
      <c r="Z93" s="167"/>
      <c r="AC93" s="150"/>
      <c r="AD93" s="150"/>
      <c r="AE93" s="150"/>
      <c r="AF93" s="150"/>
      <c r="AG93" s="150"/>
      <c r="AH93" s="150"/>
      <c r="AI93" s="150"/>
      <c r="AJ93" s="187"/>
      <c r="AK93" s="150"/>
      <c r="AL93" s="150"/>
      <c r="AM93" s="150"/>
      <c r="AN93" s="150"/>
      <c r="AP93" s="150"/>
      <c r="AQ93" s="150"/>
      <c r="AR93" s="150"/>
      <c r="AZ93" s="167"/>
      <c r="BC93" s="150"/>
      <c r="BD93" s="150"/>
      <c r="BE93" s="150"/>
      <c r="BF93" s="150"/>
      <c r="BG93" s="150"/>
      <c r="BH93" s="150"/>
      <c r="BI93" s="150"/>
      <c r="BJ93" s="187"/>
      <c r="BK93" s="150"/>
      <c r="BL93" s="150"/>
      <c r="BM93" s="150"/>
      <c r="BN93" s="150"/>
      <c r="BP93" s="150"/>
      <c r="BQ93" s="150"/>
      <c r="BR93" s="150"/>
    </row>
    <row r="94" spans="3:70" x14ac:dyDescent="0.25">
      <c r="C94" s="150"/>
      <c r="D94" s="150"/>
      <c r="E94" s="150"/>
      <c r="F94" s="150"/>
      <c r="G94" s="150"/>
      <c r="H94" s="150"/>
      <c r="I94" s="150"/>
      <c r="J94" s="187"/>
      <c r="K94" s="150"/>
      <c r="L94" s="150"/>
      <c r="M94" s="150"/>
      <c r="N94" s="150"/>
      <c r="P94" s="150"/>
      <c r="Q94" s="150"/>
      <c r="R94" s="150"/>
      <c r="S94" s="150"/>
      <c r="T94" s="167"/>
      <c r="U94" s="167"/>
      <c r="V94" s="167"/>
      <c r="W94" s="167"/>
      <c r="X94" s="167"/>
      <c r="Y94" s="167"/>
      <c r="Z94" s="167"/>
      <c r="AC94" s="150"/>
      <c r="AD94" s="150"/>
      <c r="AE94" s="150"/>
      <c r="AF94" s="150"/>
      <c r="AG94" s="150"/>
      <c r="AH94" s="150"/>
      <c r="AI94" s="150"/>
      <c r="AJ94" s="187"/>
      <c r="AK94" s="150"/>
      <c r="AL94" s="150"/>
      <c r="AM94" s="150"/>
      <c r="AN94" s="150"/>
      <c r="AP94" s="150"/>
      <c r="AQ94" s="150"/>
      <c r="AR94" s="150"/>
      <c r="AS94" s="150"/>
      <c r="AT94" s="150"/>
      <c r="AU94" s="150"/>
      <c r="AV94" s="150"/>
      <c r="AW94" s="150"/>
      <c r="AZ94" s="167"/>
      <c r="BC94" s="150"/>
      <c r="BD94" s="150"/>
      <c r="BE94" s="150"/>
      <c r="BF94" s="150"/>
      <c r="BG94" s="150"/>
      <c r="BH94" s="150"/>
      <c r="BI94" s="150"/>
      <c r="BJ94" s="187"/>
      <c r="BK94" s="150"/>
      <c r="BL94" s="150"/>
      <c r="BM94" s="150"/>
      <c r="BN94" s="150"/>
      <c r="BP94" s="150"/>
      <c r="BQ94" s="150"/>
      <c r="BR94" s="150"/>
    </row>
    <row r="95" spans="3:70" x14ac:dyDescent="0.25">
      <c r="C95" s="150"/>
      <c r="D95" s="150"/>
      <c r="E95" s="150"/>
      <c r="F95" s="150"/>
      <c r="G95" s="150"/>
      <c r="H95" s="150"/>
      <c r="I95" s="150"/>
      <c r="J95" s="187"/>
      <c r="K95" s="150"/>
      <c r="L95" s="150"/>
      <c r="M95" s="150"/>
      <c r="N95" s="150"/>
      <c r="P95" s="150"/>
      <c r="Q95" s="150"/>
      <c r="R95" s="150"/>
      <c r="S95" s="150"/>
      <c r="T95" s="167"/>
      <c r="U95" s="161"/>
      <c r="V95" s="167"/>
      <c r="W95" s="161"/>
      <c r="X95" s="167"/>
      <c r="Y95" s="161"/>
      <c r="Z95" s="167"/>
      <c r="AC95" s="150"/>
      <c r="AD95" s="150"/>
      <c r="AE95" s="150"/>
      <c r="AF95" s="150"/>
      <c r="AG95" s="150"/>
      <c r="AH95" s="150"/>
      <c r="AI95" s="150"/>
      <c r="AJ95" s="187"/>
      <c r="AK95" s="150"/>
      <c r="AL95" s="150"/>
      <c r="AM95" s="150"/>
      <c r="AN95" s="150"/>
      <c r="AP95" s="150"/>
      <c r="AQ95" s="150"/>
      <c r="AR95" s="150"/>
      <c r="AZ95" s="167"/>
      <c r="BC95" s="150"/>
      <c r="BD95" s="150"/>
      <c r="BE95" s="150"/>
      <c r="BF95" s="150"/>
      <c r="BG95" s="150"/>
      <c r="BH95" s="150"/>
      <c r="BI95" s="150"/>
      <c r="BJ95" s="187"/>
      <c r="BK95" s="150"/>
      <c r="BL95" s="150"/>
      <c r="BM95" s="150"/>
      <c r="BN95" s="150"/>
      <c r="BP95" s="150"/>
      <c r="BQ95" s="150"/>
      <c r="BR95" s="150"/>
    </row>
    <row r="96" spans="3:70" x14ac:dyDescent="0.25">
      <c r="C96" s="150"/>
      <c r="D96" s="150"/>
      <c r="E96" s="150"/>
      <c r="F96" s="150"/>
      <c r="G96" s="150"/>
      <c r="H96" s="150"/>
      <c r="I96" s="150"/>
      <c r="J96" s="187"/>
      <c r="K96" s="150"/>
      <c r="L96" s="150"/>
      <c r="M96" s="150"/>
      <c r="N96" s="150"/>
      <c r="P96" s="150"/>
      <c r="Q96" s="150"/>
      <c r="S96" s="150"/>
      <c r="T96" s="167"/>
      <c r="U96" s="167"/>
      <c r="V96" s="167"/>
      <c r="W96" s="167"/>
      <c r="X96" s="167"/>
      <c r="Y96" s="167"/>
      <c r="Z96" s="167"/>
      <c r="AC96" s="150"/>
      <c r="AD96" s="150"/>
      <c r="AE96" s="150"/>
      <c r="AF96" s="150"/>
      <c r="AG96" s="150"/>
      <c r="AH96" s="150"/>
      <c r="AI96" s="150"/>
      <c r="AJ96" s="187"/>
      <c r="AK96" s="150"/>
      <c r="AL96" s="150"/>
      <c r="AM96" s="150"/>
      <c r="AN96" s="150"/>
      <c r="AP96" s="150"/>
      <c r="AQ96" s="150"/>
      <c r="AS96" s="150"/>
      <c r="AT96" s="150"/>
      <c r="AU96" s="150"/>
      <c r="AV96" s="150"/>
      <c r="AW96" s="150"/>
      <c r="AZ96" s="167"/>
      <c r="BC96" s="150"/>
      <c r="BD96" s="150"/>
      <c r="BE96" s="150"/>
      <c r="BF96" s="150"/>
      <c r="BG96" s="150"/>
      <c r="BH96" s="150"/>
      <c r="BI96" s="150"/>
      <c r="BJ96" s="187"/>
      <c r="BK96" s="150"/>
      <c r="BL96" s="150"/>
      <c r="BM96" s="150"/>
      <c r="BN96" s="150"/>
      <c r="BP96" s="150"/>
      <c r="BQ96" s="150"/>
    </row>
    <row r="97" spans="3:70" x14ac:dyDescent="0.25">
      <c r="C97" s="150"/>
      <c r="D97" s="150"/>
      <c r="E97" s="150"/>
      <c r="F97" s="150"/>
      <c r="G97" s="150"/>
      <c r="H97" s="150"/>
      <c r="I97" s="150"/>
      <c r="J97" s="187"/>
      <c r="K97" s="150"/>
      <c r="L97" s="150"/>
      <c r="M97" s="150"/>
      <c r="N97" s="150"/>
      <c r="P97" s="150"/>
      <c r="Q97" s="150"/>
      <c r="R97" s="150"/>
      <c r="S97" s="150"/>
      <c r="T97" s="167"/>
      <c r="U97" s="161"/>
      <c r="V97" s="167"/>
      <c r="W97" s="161"/>
      <c r="X97" s="167"/>
      <c r="Y97" s="161"/>
      <c r="Z97" s="167"/>
      <c r="AC97" s="150"/>
      <c r="AD97" s="150"/>
      <c r="AE97" s="150"/>
      <c r="AF97" s="150"/>
      <c r="AG97" s="150"/>
      <c r="AH97" s="150"/>
      <c r="AI97" s="150"/>
      <c r="AJ97" s="187"/>
      <c r="AK97" s="150"/>
      <c r="AL97" s="150"/>
      <c r="AM97" s="150"/>
      <c r="AN97" s="150"/>
      <c r="AP97" s="150"/>
      <c r="AQ97" s="150"/>
      <c r="AR97" s="150"/>
      <c r="AZ97" s="167"/>
      <c r="BC97" s="150"/>
      <c r="BD97" s="150"/>
      <c r="BE97" s="150"/>
      <c r="BF97" s="150"/>
      <c r="BG97" s="150"/>
      <c r="BH97" s="150"/>
      <c r="BI97" s="150"/>
      <c r="BJ97" s="187"/>
      <c r="BK97" s="150"/>
      <c r="BL97" s="150"/>
      <c r="BM97" s="150"/>
      <c r="BN97" s="150"/>
      <c r="BP97" s="150"/>
      <c r="BQ97" s="150"/>
      <c r="BR97" s="150"/>
    </row>
    <row r="98" spans="3:70" x14ac:dyDescent="0.25">
      <c r="C98" s="150"/>
      <c r="D98" s="150"/>
      <c r="E98" s="150"/>
      <c r="F98" s="150"/>
      <c r="G98" s="150"/>
      <c r="H98" s="150"/>
      <c r="I98" s="150"/>
      <c r="J98" s="187"/>
      <c r="K98" s="150"/>
      <c r="L98" s="150"/>
      <c r="M98" s="150"/>
      <c r="N98" s="150"/>
      <c r="P98" s="150"/>
      <c r="Q98" s="150"/>
      <c r="R98" s="188"/>
      <c r="S98" s="150"/>
      <c r="T98" s="167"/>
      <c r="U98" s="161"/>
      <c r="V98" s="167"/>
      <c r="W98" s="161"/>
      <c r="X98" s="167"/>
      <c r="Y98" s="161"/>
      <c r="Z98" s="167"/>
      <c r="AC98" s="150"/>
      <c r="AD98" s="150"/>
      <c r="AE98" s="150"/>
      <c r="AF98" s="150"/>
      <c r="AG98" s="150"/>
      <c r="AH98" s="150"/>
      <c r="AI98" s="150"/>
      <c r="AJ98" s="187"/>
      <c r="AK98" s="150"/>
      <c r="AL98" s="150"/>
      <c r="AM98" s="150"/>
      <c r="AN98" s="150"/>
      <c r="AP98" s="150"/>
      <c r="AQ98" s="150"/>
      <c r="AR98" s="188"/>
      <c r="AZ98" s="167"/>
      <c r="BC98" s="150"/>
      <c r="BD98" s="150"/>
      <c r="BE98" s="150"/>
      <c r="BF98" s="150"/>
      <c r="BG98" s="150"/>
      <c r="BH98" s="150"/>
      <c r="BI98" s="150"/>
      <c r="BJ98" s="187"/>
      <c r="BK98" s="150"/>
      <c r="BL98" s="150"/>
      <c r="BM98" s="150"/>
      <c r="BN98" s="150"/>
      <c r="BP98" s="150"/>
      <c r="BQ98" s="150"/>
      <c r="BR98" s="188"/>
    </row>
    <row r="99" spans="3:70" x14ac:dyDescent="0.25">
      <c r="C99" s="150"/>
      <c r="D99" s="150"/>
      <c r="E99" s="150"/>
      <c r="F99" s="150"/>
      <c r="G99" s="150"/>
      <c r="H99" s="150"/>
      <c r="I99" s="150"/>
      <c r="J99" s="187"/>
      <c r="K99" s="150"/>
      <c r="L99" s="150"/>
      <c r="M99" s="150"/>
      <c r="N99" s="150"/>
      <c r="P99" s="150"/>
      <c r="Q99" s="150"/>
      <c r="R99" s="188"/>
      <c r="S99" s="150"/>
      <c r="T99" s="167"/>
      <c r="U99" s="161"/>
      <c r="V99" s="167"/>
      <c r="W99" s="161"/>
      <c r="X99" s="167"/>
      <c r="Y99" s="161"/>
      <c r="Z99" s="167"/>
      <c r="AC99" s="150"/>
      <c r="AD99" s="150"/>
      <c r="AE99" s="150"/>
      <c r="AF99" s="150"/>
      <c r="AG99" s="150"/>
      <c r="AH99" s="150"/>
      <c r="AI99" s="150"/>
      <c r="AJ99" s="187"/>
      <c r="AK99" s="150"/>
      <c r="AL99" s="150"/>
      <c r="AM99" s="150"/>
      <c r="AN99" s="150"/>
      <c r="AP99" s="150"/>
      <c r="AQ99" s="150"/>
      <c r="AR99" s="188"/>
      <c r="AZ99" s="167"/>
      <c r="BC99" s="150"/>
      <c r="BD99" s="150"/>
      <c r="BE99" s="150"/>
      <c r="BF99" s="150"/>
      <c r="BG99" s="150"/>
      <c r="BH99" s="150"/>
      <c r="BI99" s="150"/>
      <c r="BJ99" s="187"/>
      <c r="BK99" s="150"/>
      <c r="BL99" s="150"/>
      <c r="BM99" s="150"/>
      <c r="BN99" s="150"/>
      <c r="BP99" s="150"/>
      <c r="BQ99" s="150"/>
      <c r="BR99" s="188"/>
    </row>
    <row r="100" spans="3:70" x14ac:dyDescent="0.25">
      <c r="C100" s="150"/>
      <c r="D100" s="150"/>
      <c r="E100" s="150"/>
      <c r="F100" s="150"/>
      <c r="G100" s="150"/>
      <c r="H100" s="150"/>
      <c r="I100" s="150"/>
      <c r="J100" s="187"/>
      <c r="K100" s="150"/>
      <c r="L100" s="150"/>
      <c r="M100" s="150"/>
      <c r="N100" s="150"/>
      <c r="P100" s="150"/>
      <c r="Q100" s="150"/>
      <c r="R100" s="150"/>
      <c r="S100" s="150"/>
      <c r="T100" s="167"/>
      <c r="U100" s="167"/>
      <c r="V100" s="167"/>
      <c r="W100" s="167"/>
      <c r="X100" s="167"/>
      <c r="Y100" s="167"/>
      <c r="Z100" s="167"/>
      <c r="AC100" s="150"/>
      <c r="AD100" s="150"/>
      <c r="AE100" s="150"/>
      <c r="AF100" s="150"/>
      <c r="AG100" s="150"/>
      <c r="AH100" s="150"/>
      <c r="AI100" s="150"/>
      <c r="AJ100" s="187"/>
      <c r="AK100" s="150"/>
      <c r="AL100" s="150"/>
      <c r="AM100" s="150"/>
      <c r="AN100" s="150"/>
      <c r="AP100" s="150"/>
      <c r="AQ100" s="150"/>
      <c r="AR100" s="150"/>
      <c r="AS100" s="150"/>
      <c r="AT100" s="150"/>
      <c r="AU100" s="150"/>
      <c r="AV100" s="150"/>
      <c r="AW100" s="150"/>
      <c r="AZ100" s="167"/>
      <c r="BC100" s="150"/>
      <c r="BD100" s="150"/>
      <c r="BE100" s="150"/>
      <c r="BF100" s="150"/>
      <c r="BG100" s="150"/>
      <c r="BH100" s="150"/>
      <c r="BI100" s="150"/>
      <c r="BJ100" s="187"/>
      <c r="BK100" s="150"/>
      <c r="BL100" s="150"/>
      <c r="BM100" s="150"/>
      <c r="BN100" s="150"/>
      <c r="BP100" s="150"/>
      <c r="BQ100" s="150"/>
      <c r="BR100" s="150"/>
    </row>
    <row r="101" spans="3:70" x14ac:dyDescent="0.25">
      <c r="C101" s="150"/>
      <c r="D101" s="150"/>
      <c r="E101" s="150"/>
      <c r="F101" s="150"/>
      <c r="G101" s="150"/>
      <c r="H101" s="150"/>
      <c r="I101" s="150"/>
      <c r="J101" s="187"/>
      <c r="K101" s="150"/>
      <c r="L101" s="150"/>
      <c r="M101" s="150"/>
      <c r="N101" s="150"/>
      <c r="P101" s="150"/>
      <c r="Q101" s="150"/>
      <c r="R101" s="150"/>
      <c r="S101" s="150"/>
      <c r="T101" s="167"/>
      <c r="U101" s="161"/>
      <c r="V101" s="167"/>
      <c r="W101" s="161"/>
      <c r="X101" s="167"/>
      <c r="Y101" s="161"/>
      <c r="Z101" s="167"/>
      <c r="AC101" s="150"/>
      <c r="AD101" s="150"/>
      <c r="AE101" s="150"/>
      <c r="AF101" s="150"/>
      <c r="AG101" s="150"/>
      <c r="AH101" s="150"/>
      <c r="AI101" s="150"/>
      <c r="AJ101" s="187"/>
      <c r="AK101" s="150"/>
      <c r="AL101" s="150"/>
      <c r="AM101" s="150"/>
      <c r="AN101" s="150"/>
      <c r="AP101" s="150"/>
      <c r="AQ101" s="150"/>
      <c r="AR101" s="150"/>
      <c r="AZ101" s="167"/>
      <c r="BC101" s="150"/>
      <c r="BD101" s="150"/>
      <c r="BE101" s="150"/>
      <c r="BF101" s="150"/>
      <c r="BG101" s="150"/>
      <c r="BH101" s="150"/>
      <c r="BI101" s="150"/>
      <c r="BJ101" s="187"/>
      <c r="BK101" s="150"/>
      <c r="BL101" s="150"/>
      <c r="BM101" s="150"/>
      <c r="BN101" s="150"/>
      <c r="BP101" s="150"/>
      <c r="BQ101" s="150"/>
      <c r="BR101" s="150"/>
    </row>
    <row r="102" spans="3:70" x14ac:dyDescent="0.25">
      <c r="C102" s="150"/>
      <c r="D102" s="150"/>
      <c r="E102" s="150"/>
      <c r="F102" s="150"/>
      <c r="G102" s="150"/>
      <c r="H102" s="150"/>
      <c r="I102" s="150"/>
      <c r="J102" s="187"/>
      <c r="K102" s="150"/>
      <c r="L102" s="150"/>
      <c r="M102" s="150"/>
      <c r="N102" s="150"/>
      <c r="P102" s="150"/>
      <c r="Q102" s="150"/>
      <c r="R102" s="150"/>
      <c r="S102" s="150"/>
      <c r="T102" s="167"/>
      <c r="U102" s="161"/>
      <c r="V102" s="167"/>
      <c r="W102" s="161"/>
      <c r="X102" s="167"/>
      <c r="Y102" s="161"/>
      <c r="Z102" s="167"/>
      <c r="AC102" s="150"/>
      <c r="AD102" s="150"/>
      <c r="AE102" s="150"/>
      <c r="AF102" s="150"/>
      <c r="AG102" s="150"/>
      <c r="AH102" s="150"/>
      <c r="AI102" s="150"/>
      <c r="AJ102" s="187"/>
      <c r="AK102" s="150"/>
      <c r="AL102" s="150"/>
      <c r="AM102" s="150"/>
      <c r="AN102" s="150"/>
      <c r="AP102" s="150"/>
      <c r="AQ102" s="150"/>
      <c r="AR102" s="150"/>
      <c r="AZ102" s="167"/>
      <c r="BC102" s="150"/>
      <c r="BD102" s="150"/>
      <c r="BE102" s="150"/>
      <c r="BF102" s="150"/>
      <c r="BG102" s="150"/>
      <c r="BH102" s="150"/>
      <c r="BI102" s="150"/>
      <c r="BJ102" s="187"/>
      <c r="BK102" s="150"/>
      <c r="BL102" s="150"/>
      <c r="BM102" s="150"/>
      <c r="BN102" s="150"/>
      <c r="BP102" s="150"/>
      <c r="BQ102" s="150"/>
      <c r="BR102" s="150"/>
    </row>
    <row r="103" spans="3:70" x14ac:dyDescent="0.25">
      <c r="C103" s="150"/>
      <c r="D103" s="150"/>
      <c r="E103" s="150"/>
      <c r="F103" s="150"/>
      <c r="G103" s="150"/>
      <c r="H103" s="150"/>
      <c r="I103" s="150"/>
      <c r="J103" s="187"/>
      <c r="K103" s="150"/>
      <c r="L103" s="150"/>
      <c r="M103" s="150"/>
      <c r="N103" s="150"/>
      <c r="P103" s="150"/>
      <c r="Q103" s="150"/>
      <c r="R103" s="150"/>
      <c r="S103" s="150"/>
      <c r="T103" s="167"/>
      <c r="U103" s="161"/>
      <c r="V103" s="167"/>
      <c r="W103" s="161"/>
      <c r="X103" s="167"/>
      <c r="Y103" s="161"/>
      <c r="Z103" s="167"/>
      <c r="AC103" s="150"/>
      <c r="AD103" s="150"/>
      <c r="AE103" s="150"/>
      <c r="AF103" s="150"/>
      <c r="AG103" s="150"/>
      <c r="AH103" s="150"/>
      <c r="AI103" s="150"/>
      <c r="AJ103" s="187"/>
      <c r="AK103" s="150"/>
      <c r="AL103" s="150"/>
      <c r="AM103" s="150"/>
      <c r="AN103" s="150"/>
      <c r="AP103" s="150"/>
      <c r="AQ103" s="150"/>
      <c r="AR103" s="150"/>
      <c r="AZ103" s="167"/>
      <c r="BC103" s="150"/>
      <c r="BD103" s="150"/>
      <c r="BE103" s="150"/>
      <c r="BF103" s="150"/>
      <c r="BG103" s="150"/>
      <c r="BH103" s="150"/>
      <c r="BI103" s="150"/>
      <c r="BJ103" s="187"/>
      <c r="BK103" s="150"/>
      <c r="BL103" s="150"/>
      <c r="BM103" s="150"/>
      <c r="BN103" s="150"/>
      <c r="BP103" s="150"/>
      <c r="BQ103" s="150"/>
      <c r="BR103" s="150"/>
    </row>
    <row r="104" spans="3:70" x14ac:dyDescent="0.25">
      <c r="C104" s="150"/>
      <c r="D104" s="150"/>
      <c r="E104" s="150"/>
      <c r="F104" s="150"/>
      <c r="G104" s="150"/>
      <c r="H104" s="150"/>
      <c r="I104" s="150"/>
      <c r="J104" s="187"/>
      <c r="K104" s="150"/>
      <c r="L104" s="150"/>
      <c r="M104" s="150"/>
      <c r="N104" s="150"/>
      <c r="P104" s="150"/>
      <c r="Q104" s="150"/>
      <c r="R104" s="150"/>
      <c r="S104" s="150"/>
      <c r="T104" s="167"/>
      <c r="U104" s="167"/>
      <c r="V104" s="167"/>
      <c r="W104" s="167"/>
      <c r="X104" s="167"/>
      <c r="Y104" s="167"/>
      <c r="Z104" s="167"/>
      <c r="AC104" s="150"/>
      <c r="AD104" s="150"/>
      <c r="AE104" s="150"/>
      <c r="AF104" s="150"/>
      <c r="AG104" s="150"/>
      <c r="AH104" s="150"/>
      <c r="AI104" s="150"/>
      <c r="AJ104" s="187"/>
      <c r="AK104" s="150"/>
      <c r="AL104" s="150"/>
      <c r="AM104" s="150"/>
      <c r="AN104" s="150"/>
      <c r="AP104" s="150"/>
      <c r="AQ104" s="150"/>
      <c r="AR104" s="150"/>
      <c r="AS104" s="150"/>
      <c r="AT104" s="150"/>
      <c r="AU104" s="150"/>
      <c r="AV104" s="150"/>
      <c r="AW104" s="150"/>
      <c r="AZ104" s="167"/>
      <c r="BC104" s="150"/>
      <c r="BD104" s="150"/>
      <c r="BE104" s="150"/>
      <c r="BF104" s="150"/>
      <c r="BG104" s="150"/>
      <c r="BH104" s="150"/>
      <c r="BI104" s="150"/>
      <c r="BJ104" s="187"/>
      <c r="BK104" s="150"/>
      <c r="BL104" s="150"/>
      <c r="BM104" s="150"/>
      <c r="BN104" s="150"/>
      <c r="BP104" s="150"/>
      <c r="BQ104" s="150"/>
      <c r="BR104" s="150"/>
    </row>
    <row r="105" spans="3:70" x14ac:dyDescent="0.25">
      <c r="C105" s="150"/>
      <c r="D105" s="150"/>
      <c r="E105" s="150"/>
      <c r="F105" s="150"/>
      <c r="G105" s="150"/>
      <c r="H105" s="150"/>
      <c r="I105" s="150"/>
      <c r="J105" s="187"/>
      <c r="K105" s="150"/>
      <c r="L105" s="150"/>
      <c r="M105" s="150"/>
      <c r="N105" s="150"/>
      <c r="P105" s="150"/>
      <c r="Q105" s="150"/>
      <c r="R105" s="150"/>
      <c r="S105" s="150"/>
      <c r="T105" s="167"/>
      <c r="U105" s="161"/>
      <c r="V105" s="167"/>
      <c r="W105" s="161"/>
      <c r="X105" s="167"/>
      <c r="Y105" s="161"/>
      <c r="Z105" s="167"/>
      <c r="AC105" s="150"/>
      <c r="AD105" s="150"/>
      <c r="AE105" s="150"/>
      <c r="AF105" s="150"/>
      <c r="AG105" s="150"/>
      <c r="AH105" s="150"/>
      <c r="AI105" s="150"/>
      <c r="AJ105" s="187"/>
      <c r="AK105" s="150"/>
      <c r="AL105" s="150"/>
      <c r="AM105" s="150"/>
      <c r="AN105" s="150"/>
      <c r="AP105" s="150"/>
      <c r="AQ105" s="150"/>
      <c r="AR105" s="150"/>
      <c r="AZ105" s="167"/>
      <c r="BC105" s="150"/>
      <c r="BD105" s="150"/>
      <c r="BE105" s="150"/>
      <c r="BF105" s="150"/>
      <c r="BG105" s="150"/>
      <c r="BH105" s="150"/>
      <c r="BI105" s="150"/>
      <c r="BJ105" s="187"/>
      <c r="BK105" s="150"/>
      <c r="BL105" s="150"/>
      <c r="BM105" s="150"/>
      <c r="BN105" s="150"/>
      <c r="BP105" s="150"/>
      <c r="BQ105" s="150"/>
      <c r="BR105" s="150"/>
    </row>
    <row r="106" spans="3:70" x14ac:dyDescent="0.25">
      <c r="C106" s="150"/>
      <c r="D106" s="150"/>
      <c r="E106" s="150"/>
      <c r="F106" s="150"/>
      <c r="G106" s="150"/>
      <c r="H106" s="150"/>
      <c r="I106" s="150"/>
      <c r="J106" s="187"/>
      <c r="K106" s="150"/>
      <c r="L106" s="150"/>
      <c r="M106" s="150"/>
      <c r="N106" s="150"/>
      <c r="P106" s="150"/>
      <c r="Q106" s="150"/>
      <c r="R106" s="150"/>
      <c r="S106" s="150"/>
      <c r="T106" s="167"/>
      <c r="U106" s="167"/>
      <c r="V106" s="167"/>
      <c r="W106" s="167"/>
      <c r="X106" s="167"/>
      <c r="Y106" s="167"/>
      <c r="Z106" s="167"/>
      <c r="AC106" s="150"/>
      <c r="AD106" s="150"/>
      <c r="AE106" s="150"/>
      <c r="AF106" s="150"/>
      <c r="AG106" s="150"/>
      <c r="AH106" s="150"/>
      <c r="AI106" s="150"/>
      <c r="AJ106" s="187"/>
      <c r="AK106" s="150"/>
      <c r="AL106" s="150"/>
      <c r="AM106" s="150"/>
      <c r="AN106" s="150"/>
      <c r="AP106" s="150"/>
      <c r="AQ106" s="150"/>
      <c r="AR106" s="150"/>
      <c r="AS106" s="150"/>
      <c r="AT106" s="150"/>
      <c r="AU106" s="150"/>
      <c r="AV106" s="150"/>
      <c r="AW106" s="150"/>
      <c r="AZ106" s="167"/>
      <c r="BC106" s="150"/>
      <c r="BD106" s="150"/>
      <c r="BE106" s="150"/>
      <c r="BF106" s="150"/>
      <c r="BG106" s="150"/>
      <c r="BH106" s="150"/>
      <c r="BI106" s="150"/>
      <c r="BJ106" s="187"/>
      <c r="BK106" s="150"/>
      <c r="BL106" s="150"/>
      <c r="BM106" s="150"/>
      <c r="BN106" s="150"/>
      <c r="BP106" s="150"/>
      <c r="BQ106" s="150"/>
      <c r="BR106" s="150"/>
    </row>
    <row r="107" spans="3:70" x14ac:dyDescent="0.25">
      <c r="C107" s="150"/>
      <c r="D107" s="150"/>
      <c r="E107" s="150"/>
      <c r="F107" s="150"/>
      <c r="G107" s="150"/>
      <c r="H107" s="150"/>
      <c r="I107" s="150"/>
      <c r="J107" s="187"/>
      <c r="K107" s="150"/>
      <c r="L107" s="150"/>
      <c r="M107" s="150"/>
      <c r="N107" s="150"/>
      <c r="P107" s="150"/>
      <c r="Q107" s="150"/>
      <c r="R107" s="150"/>
      <c r="S107" s="150"/>
      <c r="T107" s="167"/>
      <c r="U107" s="161"/>
      <c r="V107" s="167"/>
      <c r="W107" s="161"/>
      <c r="X107" s="167"/>
      <c r="Y107" s="161"/>
      <c r="Z107" s="167"/>
      <c r="AC107" s="150"/>
      <c r="AD107" s="150"/>
      <c r="AE107" s="150"/>
      <c r="AF107" s="150"/>
      <c r="AG107" s="150"/>
      <c r="AH107" s="150"/>
      <c r="AI107" s="150"/>
      <c r="AJ107" s="187"/>
      <c r="AK107" s="150"/>
      <c r="AL107" s="150"/>
      <c r="AM107" s="150"/>
      <c r="AN107" s="150"/>
      <c r="AP107" s="150"/>
      <c r="AQ107" s="150"/>
      <c r="AR107" s="150"/>
      <c r="AZ107" s="167"/>
      <c r="BC107" s="150"/>
      <c r="BD107" s="150"/>
      <c r="BE107" s="150"/>
      <c r="BF107" s="150"/>
      <c r="BG107" s="150"/>
      <c r="BH107" s="150"/>
      <c r="BI107" s="150"/>
      <c r="BJ107" s="187"/>
      <c r="BK107" s="150"/>
      <c r="BL107" s="150"/>
      <c r="BM107" s="150"/>
      <c r="BN107" s="150"/>
      <c r="BP107" s="150"/>
      <c r="BQ107" s="150"/>
      <c r="BR107" s="150"/>
    </row>
    <row r="108" spans="3:70" x14ac:dyDescent="0.25">
      <c r="C108" s="150"/>
      <c r="D108" s="150"/>
      <c r="E108" s="150"/>
      <c r="F108" s="150"/>
      <c r="G108" s="150"/>
      <c r="H108" s="150"/>
      <c r="I108" s="150"/>
      <c r="J108" s="187"/>
      <c r="K108" s="150"/>
      <c r="L108" s="150"/>
      <c r="M108" s="150"/>
      <c r="N108" s="150"/>
      <c r="P108" s="150"/>
      <c r="Q108" s="150"/>
      <c r="R108" s="150"/>
      <c r="S108" s="150"/>
      <c r="T108" s="167"/>
      <c r="U108" s="167"/>
      <c r="V108" s="167"/>
      <c r="W108" s="167"/>
      <c r="X108" s="167"/>
      <c r="Y108" s="167"/>
      <c r="Z108" s="167"/>
      <c r="AC108" s="150"/>
      <c r="AD108" s="150"/>
      <c r="AE108" s="150"/>
      <c r="AF108" s="150"/>
      <c r="AG108" s="150"/>
      <c r="AH108" s="150"/>
      <c r="AI108" s="150"/>
      <c r="AJ108" s="187"/>
      <c r="AK108" s="150"/>
      <c r="AL108" s="150"/>
      <c r="AM108" s="150"/>
      <c r="AN108" s="150"/>
      <c r="AP108" s="150"/>
      <c r="AQ108" s="150"/>
      <c r="AR108" s="150"/>
      <c r="AS108" s="150"/>
      <c r="AT108" s="150"/>
      <c r="AU108" s="150"/>
      <c r="AV108" s="150"/>
      <c r="AW108" s="150"/>
      <c r="AZ108" s="167"/>
      <c r="BC108" s="150"/>
      <c r="BD108" s="150"/>
      <c r="BE108" s="150"/>
      <c r="BF108" s="150"/>
      <c r="BG108" s="150"/>
      <c r="BH108" s="150"/>
      <c r="BI108" s="150"/>
      <c r="BJ108" s="187"/>
      <c r="BK108" s="150"/>
      <c r="BL108" s="150"/>
      <c r="BM108" s="150"/>
      <c r="BN108" s="150"/>
      <c r="BP108" s="150"/>
      <c r="BQ108" s="150"/>
      <c r="BR108" s="150"/>
    </row>
    <row r="109" spans="3:70" x14ac:dyDescent="0.25">
      <c r="C109" s="150"/>
      <c r="D109" s="150"/>
      <c r="E109" s="150"/>
      <c r="F109" s="150"/>
      <c r="G109" s="150"/>
      <c r="H109" s="150"/>
      <c r="I109" s="150"/>
      <c r="J109" s="187"/>
      <c r="K109" s="150"/>
      <c r="L109" s="150"/>
      <c r="M109" s="150"/>
      <c r="N109" s="150"/>
      <c r="P109" s="150"/>
      <c r="Q109" s="150"/>
      <c r="R109" s="150"/>
      <c r="S109" s="150"/>
      <c r="T109" s="167"/>
      <c r="U109" s="161"/>
      <c r="V109" s="167"/>
      <c r="W109" s="161"/>
      <c r="X109" s="167"/>
      <c r="Y109" s="161"/>
      <c r="Z109" s="167"/>
      <c r="AC109" s="150"/>
      <c r="AD109" s="150"/>
      <c r="AE109" s="150"/>
      <c r="AF109" s="150"/>
      <c r="AG109" s="150"/>
      <c r="AH109" s="150"/>
      <c r="AI109" s="150"/>
      <c r="AJ109" s="187"/>
      <c r="AK109" s="150"/>
      <c r="AL109" s="150"/>
      <c r="AM109" s="150"/>
      <c r="AN109" s="150"/>
      <c r="AP109" s="150"/>
      <c r="AQ109" s="150"/>
      <c r="AR109" s="150"/>
      <c r="AZ109" s="167"/>
      <c r="BC109" s="150"/>
      <c r="BD109" s="150"/>
      <c r="BE109" s="150"/>
      <c r="BF109" s="150"/>
      <c r="BG109" s="150"/>
      <c r="BH109" s="150"/>
      <c r="BI109" s="150"/>
      <c r="BJ109" s="187"/>
      <c r="BK109" s="150"/>
      <c r="BL109" s="150"/>
      <c r="BM109" s="150"/>
      <c r="BN109" s="150"/>
      <c r="BP109" s="150"/>
      <c r="BQ109" s="150"/>
      <c r="BR109" s="150"/>
    </row>
    <row r="110" spans="3:70" x14ac:dyDescent="0.25">
      <c r="C110" s="150"/>
      <c r="D110" s="150"/>
      <c r="E110" s="150"/>
      <c r="F110" s="150"/>
      <c r="G110" s="150"/>
      <c r="H110" s="150"/>
      <c r="I110" s="150"/>
      <c r="J110" s="187"/>
      <c r="K110" s="150"/>
      <c r="L110" s="150"/>
      <c r="M110" s="150"/>
      <c r="N110" s="150"/>
      <c r="P110" s="150"/>
      <c r="Q110" s="150"/>
      <c r="R110" s="150"/>
      <c r="S110" s="150"/>
      <c r="T110" s="167"/>
      <c r="U110" s="167"/>
      <c r="V110" s="167"/>
      <c r="W110" s="167"/>
      <c r="X110" s="167"/>
      <c r="Y110" s="167"/>
      <c r="Z110" s="167"/>
      <c r="AC110" s="150"/>
      <c r="AD110" s="150"/>
      <c r="AE110" s="150"/>
      <c r="AF110" s="150"/>
      <c r="AG110" s="150"/>
      <c r="AH110" s="150"/>
      <c r="AI110" s="150"/>
      <c r="AJ110" s="187"/>
      <c r="AK110" s="150"/>
      <c r="AL110" s="150"/>
      <c r="AM110" s="150"/>
      <c r="AN110" s="150"/>
      <c r="AP110" s="150"/>
      <c r="AQ110" s="150"/>
      <c r="AR110" s="150"/>
      <c r="AS110" s="150"/>
      <c r="AT110" s="150"/>
      <c r="AU110" s="150"/>
      <c r="AV110" s="150"/>
      <c r="AW110" s="150"/>
      <c r="AZ110" s="167"/>
      <c r="BC110" s="150"/>
      <c r="BD110" s="150"/>
      <c r="BE110" s="150"/>
      <c r="BF110" s="150"/>
      <c r="BG110" s="150"/>
      <c r="BH110" s="150"/>
      <c r="BI110" s="150"/>
      <c r="BJ110" s="187"/>
      <c r="BK110" s="150"/>
      <c r="BL110" s="150"/>
      <c r="BM110" s="150"/>
      <c r="BN110" s="150"/>
      <c r="BP110" s="150"/>
      <c r="BQ110" s="150"/>
      <c r="BR110" s="150"/>
    </row>
    <row r="111" spans="3:70" x14ac:dyDescent="0.25">
      <c r="C111" s="150"/>
      <c r="D111" s="150"/>
      <c r="E111" s="150"/>
      <c r="F111" s="150"/>
      <c r="G111" s="150"/>
      <c r="H111" s="150"/>
      <c r="I111" s="150"/>
      <c r="J111" s="187"/>
      <c r="K111" s="150"/>
      <c r="L111" s="150"/>
      <c r="M111" s="150"/>
      <c r="N111" s="150"/>
      <c r="P111" s="150"/>
      <c r="Q111" s="150"/>
      <c r="R111" s="188"/>
      <c r="S111" s="150"/>
      <c r="T111" s="167"/>
      <c r="U111" s="161"/>
      <c r="V111" s="167"/>
      <c r="W111" s="161"/>
      <c r="X111" s="167"/>
      <c r="Y111" s="161"/>
      <c r="Z111" s="167"/>
      <c r="AC111" s="150"/>
      <c r="AD111" s="150"/>
      <c r="AE111" s="150"/>
      <c r="AF111" s="150"/>
      <c r="AG111" s="150"/>
      <c r="AH111" s="150"/>
      <c r="AI111" s="150"/>
      <c r="AJ111" s="187"/>
      <c r="AK111" s="150"/>
      <c r="AL111" s="150"/>
      <c r="AM111" s="150"/>
      <c r="AN111" s="150"/>
      <c r="AP111" s="150"/>
      <c r="AQ111" s="150"/>
      <c r="AR111" s="188"/>
      <c r="AZ111" s="167"/>
      <c r="BC111" s="150"/>
      <c r="BD111" s="150"/>
      <c r="BE111" s="150"/>
      <c r="BF111" s="150"/>
      <c r="BG111" s="150"/>
      <c r="BH111" s="150"/>
      <c r="BI111" s="150"/>
      <c r="BJ111" s="187"/>
      <c r="BK111" s="150"/>
      <c r="BL111" s="150"/>
      <c r="BM111" s="150"/>
      <c r="BN111" s="150"/>
      <c r="BP111" s="150"/>
      <c r="BQ111" s="150"/>
      <c r="BR111" s="188"/>
    </row>
    <row r="112" spans="3:70" x14ac:dyDescent="0.25">
      <c r="C112" s="150"/>
      <c r="D112" s="150"/>
      <c r="E112" s="150"/>
      <c r="F112" s="150"/>
      <c r="G112" s="150"/>
      <c r="H112" s="150"/>
      <c r="I112" s="150"/>
      <c r="J112" s="187"/>
      <c r="K112" s="150"/>
      <c r="L112" s="150"/>
      <c r="M112" s="150"/>
      <c r="N112" s="150"/>
      <c r="P112" s="150"/>
      <c r="Q112" s="150"/>
      <c r="R112" s="150"/>
      <c r="S112" s="150"/>
      <c r="T112" s="167"/>
      <c r="U112" s="167"/>
      <c r="V112" s="167"/>
      <c r="W112" s="167"/>
      <c r="X112" s="167"/>
      <c r="Y112" s="167"/>
      <c r="Z112" s="167"/>
      <c r="AC112" s="150"/>
      <c r="AD112" s="150"/>
      <c r="AE112" s="150"/>
      <c r="AF112" s="150"/>
      <c r="AG112" s="150"/>
      <c r="AH112" s="150"/>
      <c r="AI112" s="150"/>
      <c r="AJ112" s="187"/>
      <c r="AK112" s="150"/>
      <c r="AL112" s="150"/>
      <c r="AM112" s="150"/>
      <c r="AN112" s="150"/>
      <c r="AP112" s="150"/>
      <c r="AQ112" s="150"/>
      <c r="AR112" s="150"/>
      <c r="AS112" s="150"/>
      <c r="AT112" s="150"/>
      <c r="AU112" s="150"/>
      <c r="AV112" s="150"/>
      <c r="AW112" s="150"/>
      <c r="AZ112" s="167"/>
      <c r="BC112" s="150"/>
      <c r="BD112" s="150"/>
      <c r="BE112" s="150"/>
      <c r="BF112" s="150"/>
      <c r="BG112" s="150"/>
      <c r="BH112" s="150"/>
      <c r="BI112" s="150"/>
      <c r="BJ112" s="187"/>
      <c r="BK112" s="150"/>
      <c r="BL112" s="150"/>
      <c r="BM112" s="150"/>
      <c r="BN112" s="150"/>
      <c r="BP112" s="150"/>
      <c r="BQ112" s="150"/>
      <c r="BR112" s="150"/>
    </row>
    <row r="113" spans="1:70" x14ac:dyDescent="0.25">
      <c r="C113" s="150"/>
      <c r="D113" s="150"/>
      <c r="E113" s="150"/>
      <c r="F113" s="150"/>
      <c r="G113" s="150"/>
      <c r="H113" s="150"/>
      <c r="I113" s="150"/>
      <c r="J113" s="187"/>
      <c r="K113" s="150"/>
      <c r="L113" s="150"/>
      <c r="M113" s="150"/>
      <c r="N113" s="150"/>
      <c r="P113" s="150"/>
      <c r="Q113" s="150"/>
      <c r="R113" s="150"/>
      <c r="S113" s="157"/>
      <c r="T113" s="167"/>
      <c r="U113" s="161"/>
      <c r="V113" s="167"/>
      <c r="W113" s="161"/>
      <c r="X113" s="167"/>
      <c r="Y113" s="161"/>
      <c r="Z113" s="167"/>
      <c r="AC113" s="150"/>
      <c r="AD113" s="150"/>
      <c r="AE113" s="150"/>
      <c r="AF113" s="150"/>
      <c r="AG113" s="150"/>
      <c r="AH113" s="150"/>
      <c r="AI113" s="150"/>
      <c r="AJ113" s="187"/>
      <c r="AK113" s="150"/>
      <c r="AL113" s="150"/>
      <c r="AM113" s="150"/>
      <c r="AN113" s="150"/>
      <c r="AP113" s="150"/>
      <c r="AQ113" s="150"/>
      <c r="AR113" s="150"/>
      <c r="AZ113" s="167"/>
      <c r="BC113" s="150"/>
      <c r="BD113" s="150"/>
      <c r="BE113" s="150"/>
      <c r="BF113" s="150"/>
      <c r="BG113" s="150"/>
      <c r="BH113" s="150"/>
      <c r="BI113" s="150"/>
      <c r="BJ113" s="187"/>
      <c r="BK113" s="150"/>
      <c r="BL113" s="150"/>
      <c r="BM113" s="150"/>
      <c r="BN113" s="150"/>
      <c r="BP113" s="150"/>
      <c r="BQ113" s="150"/>
      <c r="BR113" s="150"/>
    </row>
    <row r="114" spans="1:70" x14ac:dyDescent="0.25">
      <c r="C114" s="150"/>
      <c r="D114" s="150"/>
      <c r="E114" s="150"/>
      <c r="F114" s="150"/>
      <c r="G114" s="150"/>
      <c r="H114" s="150"/>
      <c r="I114" s="150"/>
      <c r="J114" s="187"/>
      <c r="K114" s="150"/>
      <c r="L114" s="150"/>
      <c r="M114" s="150"/>
      <c r="N114" s="150"/>
      <c r="P114" s="150"/>
      <c r="Q114" s="150"/>
      <c r="R114" s="150"/>
      <c r="S114" s="150"/>
      <c r="T114" s="167"/>
      <c r="U114" s="167"/>
      <c r="V114" s="167"/>
      <c r="W114" s="167"/>
      <c r="X114" s="167"/>
      <c r="Y114" s="167"/>
      <c r="Z114" s="167"/>
      <c r="AC114" s="150"/>
      <c r="AD114" s="150"/>
      <c r="AE114" s="150"/>
      <c r="AF114" s="150"/>
      <c r="AG114" s="150"/>
      <c r="AH114" s="150"/>
      <c r="AI114" s="150"/>
      <c r="AJ114" s="187"/>
      <c r="AK114" s="150"/>
      <c r="AL114" s="150"/>
      <c r="AM114" s="150"/>
      <c r="AN114" s="150"/>
      <c r="AP114" s="150"/>
      <c r="AQ114" s="150"/>
      <c r="AR114" s="150"/>
      <c r="AS114" s="150"/>
      <c r="AT114" s="150"/>
      <c r="AU114" s="150"/>
      <c r="AV114" s="150"/>
      <c r="AW114" s="150"/>
      <c r="AZ114" s="167"/>
      <c r="BC114" s="150"/>
      <c r="BD114" s="150"/>
      <c r="BE114" s="150"/>
      <c r="BF114" s="150"/>
      <c r="BG114" s="150"/>
      <c r="BH114" s="150"/>
      <c r="BI114" s="150"/>
      <c r="BJ114" s="187"/>
      <c r="BK114" s="150"/>
      <c r="BL114" s="150"/>
      <c r="BM114" s="150"/>
      <c r="BN114" s="150"/>
      <c r="BP114" s="150"/>
      <c r="BQ114" s="150"/>
      <c r="BR114" s="150"/>
    </row>
    <row r="115" spans="1:70" x14ac:dyDescent="0.25">
      <c r="C115" s="150"/>
      <c r="D115" s="150"/>
      <c r="E115" s="150"/>
      <c r="F115" s="150"/>
      <c r="G115" s="150"/>
      <c r="H115" s="150"/>
      <c r="I115" s="150"/>
      <c r="J115" s="187"/>
      <c r="K115" s="150"/>
      <c r="L115" s="150"/>
      <c r="M115" s="150"/>
      <c r="N115" s="150"/>
      <c r="P115" s="150"/>
      <c r="Q115" s="150"/>
      <c r="R115" s="150"/>
      <c r="S115" s="207"/>
      <c r="T115" s="167"/>
      <c r="U115" s="161"/>
      <c r="V115" s="167"/>
      <c r="W115" s="161"/>
      <c r="X115" s="167"/>
      <c r="Y115" s="161"/>
      <c r="Z115" s="167"/>
      <c r="AC115" s="150"/>
      <c r="AD115" s="150"/>
      <c r="AE115" s="150"/>
      <c r="AF115" s="150"/>
      <c r="AG115" s="150"/>
      <c r="AH115" s="150"/>
      <c r="AI115" s="150"/>
      <c r="AJ115" s="187"/>
      <c r="AK115" s="150"/>
      <c r="AL115" s="150"/>
      <c r="AM115" s="150"/>
      <c r="AN115" s="150"/>
      <c r="AP115" s="150"/>
      <c r="AQ115" s="150"/>
      <c r="AR115" s="150"/>
      <c r="AZ115" s="167"/>
      <c r="BC115" s="150"/>
      <c r="BD115" s="150"/>
      <c r="BE115" s="150"/>
      <c r="BF115" s="150"/>
      <c r="BG115" s="150"/>
      <c r="BH115" s="150"/>
      <c r="BI115" s="150"/>
      <c r="BJ115" s="187"/>
      <c r="BK115" s="150"/>
      <c r="BL115" s="150"/>
      <c r="BM115" s="150"/>
      <c r="BN115" s="150"/>
      <c r="BP115" s="150"/>
      <c r="BQ115" s="150"/>
      <c r="BR115" s="150"/>
    </row>
    <row r="116" spans="1:70" x14ac:dyDescent="0.25">
      <c r="C116" s="150"/>
      <c r="D116" s="150"/>
      <c r="E116" s="150"/>
      <c r="F116" s="150"/>
      <c r="G116" s="150"/>
      <c r="H116" s="150"/>
      <c r="I116" s="150"/>
      <c r="J116" s="187"/>
      <c r="K116" s="150"/>
      <c r="L116" s="150"/>
      <c r="M116" s="150"/>
      <c r="N116" s="150"/>
      <c r="P116" s="150"/>
      <c r="Q116" s="150"/>
      <c r="R116" s="150"/>
      <c r="S116" s="150"/>
      <c r="T116" s="167"/>
      <c r="U116" s="167"/>
      <c r="V116" s="167"/>
      <c r="W116" s="167"/>
      <c r="X116" s="167"/>
      <c r="Y116" s="167"/>
      <c r="Z116" s="167"/>
      <c r="AC116" s="150"/>
      <c r="AD116" s="150"/>
      <c r="AE116" s="150"/>
      <c r="AF116" s="150"/>
      <c r="AG116" s="150"/>
      <c r="AH116" s="150"/>
      <c r="AI116" s="150"/>
      <c r="AJ116" s="187"/>
      <c r="AK116" s="150"/>
      <c r="AL116" s="150"/>
      <c r="AM116" s="150"/>
      <c r="AN116" s="150"/>
      <c r="AP116" s="150"/>
      <c r="AQ116" s="150"/>
      <c r="AR116" s="150"/>
      <c r="AS116" s="150"/>
      <c r="AT116" s="150"/>
      <c r="AU116" s="150"/>
      <c r="AV116" s="150"/>
      <c r="AW116" s="150"/>
      <c r="AZ116" s="167"/>
      <c r="BC116" s="150"/>
      <c r="BD116" s="150"/>
      <c r="BE116" s="150"/>
      <c r="BF116" s="150"/>
      <c r="BG116" s="150"/>
      <c r="BH116" s="150"/>
      <c r="BI116" s="150"/>
      <c r="BJ116" s="187"/>
      <c r="BK116" s="150"/>
      <c r="BL116" s="150"/>
      <c r="BM116" s="150"/>
      <c r="BN116" s="150"/>
      <c r="BP116" s="150"/>
      <c r="BQ116" s="150"/>
      <c r="BR116" s="150"/>
    </row>
    <row r="117" spans="1:70" x14ac:dyDescent="0.25">
      <c r="C117" s="150"/>
      <c r="D117" s="150"/>
      <c r="E117" s="150"/>
      <c r="F117" s="150"/>
      <c r="G117" s="150"/>
      <c r="H117" s="150"/>
      <c r="I117" s="150"/>
      <c r="J117" s="187"/>
      <c r="K117" s="150"/>
      <c r="L117" s="150"/>
      <c r="M117" s="150"/>
      <c r="N117" s="150"/>
      <c r="P117" s="150"/>
      <c r="Q117" s="150"/>
      <c r="R117" s="150"/>
      <c r="S117" s="150"/>
      <c r="T117" s="167"/>
      <c r="U117" s="161"/>
      <c r="V117" s="167"/>
      <c r="W117" s="161"/>
      <c r="X117" s="167"/>
      <c r="Y117" s="161"/>
      <c r="Z117" s="167"/>
      <c r="AC117" s="150"/>
      <c r="AD117" s="150"/>
      <c r="AE117" s="150"/>
      <c r="AF117" s="150"/>
      <c r="AG117" s="150"/>
      <c r="AH117" s="150"/>
      <c r="AI117" s="150"/>
      <c r="AJ117" s="187"/>
      <c r="AK117" s="150"/>
      <c r="AL117" s="150"/>
      <c r="AM117" s="150"/>
      <c r="AN117" s="150"/>
      <c r="AP117" s="150"/>
      <c r="AQ117" s="150"/>
      <c r="AR117" s="150"/>
      <c r="AZ117" s="167"/>
      <c r="BC117" s="150"/>
      <c r="BD117" s="150"/>
      <c r="BE117" s="150"/>
      <c r="BF117" s="150"/>
      <c r="BG117" s="150"/>
      <c r="BH117" s="150"/>
      <c r="BI117" s="150"/>
      <c r="BJ117" s="187"/>
      <c r="BK117" s="150"/>
      <c r="BL117" s="150"/>
      <c r="BM117" s="150"/>
      <c r="BN117" s="150"/>
      <c r="BP117" s="150"/>
      <c r="BQ117" s="150"/>
      <c r="BR117" s="150"/>
    </row>
    <row r="118" spans="1:70" x14ac:dyDescent="0.25">
      <c r="C118" s="150"/>
      <c r="D118" s="150"/>
      <c r="E118" s="150"/>
      <c r="F118" s="150"/>
      <c r="G118" s="150"/>
      <c r="H118" s="150"/>
      <c r="I118" s="150"/>
      <c r="J118" s="187"/>
      <c r="K118" s="150"/>
      <c r="L118" s="150"/>
      <c r="M118" s="150"/>
      <c r="N118" s="150"/>
      <c r="R118" s="150"/>
      <c r="S118" s="157"/>
      <c r="T118" s="167"/>
      <c r="U118" s="167"/>
      <c r="V118" s="167"/>
      <c r="W118" s="167"/>
      <c r="X118" s="167"/>
      <c r="Y118" s="167"/>
      <c r="Z118" s="167"/>
      <c r="AC118" s="150"/>
      <c r="AD118" s="150"/>
      <c r="AE118" s="150"/>
      <c r="AF118" s="150"/>
      <c r="AG118" s="150"/>
      <c r="AH118" s="150"/>
      <c r="AI118" s="150"/>
      <c r="AJ118" s="187"/>
      <c r="AK118" s="150"/>
      <c r="AL118" s="150"/>
      <c r="AM118" s="150"/>
      <c r="AN118" s="150"/>
      <c r="AR118" s="150"/>
      <c r="AS118" s="150"/>
      <c r="AT118" s="150"/>
      <c r="AU118" s="150"/>
      <c r="AV118" s="150"/>
      <c r="AW118" s="150"/>
      <c r="AZ118" s="167"/>
      <c r="BC118" s="150"/>
      <c r="BD118" s="150"/>
      <c r="BE118" s="150"/>
      <c r="BF118" s="150"/>
      <c r="BG118" s="150"/>
      <c r="BH118" s="150"/>
      <c r="BI118" s="150"/>
      <c r="BJ118" s="187"/>
      <c r="BK118" s="150"/>
      <c r="BL118" s="150"/>
      <c r="BM118" s="150"/>
      <c r="BN118" s="150"/>
      <c r="BR118" s="150"/>
    </row>
    <row r="119" spans="1:70" s="150" customFormat="1" x14ac:dyDescent="0.25">
      <c r="A119" s="149"/>
      <c r="J119" s="187"/>
      <c r="O119" s="151"/>
      <c r="T119" s="167"/>
      <c r="U119" s="161"/>
      <c r="V119" s="167"/>
      <c r="W119" s="161"/>
      <c r="X119" s="167"/>
      <c r="Y119" s="161"/>
      <c r="Z119" s="167"/>
      <c r="AA119" s="149"/>
      <c r="AJ119" s="187"/>
      <c r="AO119" s="151"/>
      <c r="AS119" s="151"/>
      <c r="AT119" s="151"/>
      <c r="AU119" s="151"/>
      <c r="AV119" s="151"/>
      <c r="AW119" s="151"/>
      <c r="AZ119" s="167"/>
      <c r="BA119" s="149"/>
      <c r="BJ119" s="187"/>
      <c r="BO119" s="151"/>
    </row>
    <row r="120" spans="1:70" x14ac:dyDescent="0.25">
      <c r="C120" s="150"/>
      <c r="D120" s="150"/>
      <c r="E120" s="150"/>
      <c r="F120" s="150"/>
      <c r="G120" s="150"/>
      <c r="H120" s="150"/>
      <c r="I120" s="150"/>
      <c r="J120" s="187"/>
      <c r="K120" s="150"/>
      <c r="L120" s="150"/>
      <c r="M120" s="150"/>
      <c r="N120" s="150"/>
      <c r="P120" s="150"/>
      <c r="Q120" s="150"/>
      <c r="T120" s="167"/>
      <c r="U120" s="167"/>
      <c r="V120" s="167"/>
      <c r="W120" s="167"/>
      <c r="X120" s="167"/>
      <c r="Y120" s="167"/>
      <c r="Z120" s="167"/>
      <c r="AC120" s="150"/>
      <c r="AD120" s="150"/>
      <c r="AE120" s="150"/>
      <c r="AF120" s="150"/>
      <c r="AG120" s="150"/>
      <c r="AH120" s="150"/>
      <c r="AI120" s="150"/>
      <c r="AJ120" s="187"/>
      <c r="AK120" s="150"/>
      <c r="AL120" s="150"/>
      <c r="AM120" s="150"/>
      <c r="AN120" s="150"/>
      <c r="AP120" s="150"/>
      <c r="AQ120" s="150"/>
      <c r="AS120" s="150"/>
      <c r="AT120" s="150"/>
      <c r="AU120" s="150"/>
      <c r="AV120" s="150"/>
      <c r="AW120" s="150"/>
      <c r="AZ120" s="167"/>
      <c r="BC120" s="150"/>
      <c r="BD120" s="150"/>
      <c r="BE120" s="150"/>
      <c r="BF120" s="150"/>
      <c r="BG120" s="150"/>
      <c r="BH120" s="150"/>
      <c r="BI120" s="150"/>
      <c r="BJ120" s="187"/>
      <c r="BK120" s="150"/>
      <c r="BL120" s="150"/>
      <c r="BM120" s="150"/>
      <c r="BN120" s="150"/>
      <c r="BP120" s="150"/>
      <c r="BQ120" s="150"/>
    </row>
    <row r="121" spans="1:70" s="150" customFormat="1" x14ac:dyDescent="0.25">
      <c r="A121" s="149"/>
      <c r="C121" s="151"/>
      <c r="D121" s="151"/>
      <c r="E121" s="151"/>
      <c r="F121" s="208"/>
      <c r="G121" s="151"/>
      <c r="H121" s="208"/>
      <c r="I121" s="151"/>
      <c r="J121" s="209"/>
      <c r="K121" s="151"/>
      <c r="L121" s="208"/>
      <c r="M121" s="151"/>
      <c r="N121" s="208"/>
      <c r="O121" s="151"/>
      <c r="P121" s="151"/>
      <c r="Q121" s="151"/>
      <c r="T121" s="167"/>
      <c r="U121" s="161"/>
      <c r="V121" s="167"/>
      <c r="W121" s="161"/>
      <c r="X121" s="167"/>
      <c r="Y121" s="161"/>
      <c r="Z121" s="167"/>
      <c r="AA121" s="149"/>
      <c r="AC121" s="151"/>
      <c r="AD121" s="151"/>
      <c r="AE121" s="151"/>
      <c r="AF121" s="208"/>
      <c r="AG121" s="151"/>
      <c r="AH121" s="208"/>
      <c r="AI121" s="151"/>
      <c r="AJ121" s="209"/>
      <c r="AK121" s="151"/>
      <c r="AL121" s="208"/>
      <c r="AM121" s="151"/>
      <c r="AN121" s="208"/>
      <c r="AO121" s="151"/>
      <c r="AP121" s="151"/>
      <c r="AQ121" s="151"/>
      <c r="AS121" s="151"/>
      <c r="AT121" s="151"/>
      <c r="AU121" s="151"/>
      <c r="AV121" s="151"/>
      <c r="AW121" s="151"/>
      <c r="AZ121" s="167"/>
      <c r="BA121" s="149"/>
      <c r="BC121" s="151"/>
      <c r="BD121" s="151"/>
      <c r="BE121" s="151"/>
      <c r="BF121" s="208"/>
      <c r="BG121" s="151"/>
      <c r="BH121" s="208"/>
      <c r="BI121" s="151"/>
      <c r="BJ121" s="209"/>
      <c r="BK121" s="151"/>
      <c r="BL121" s="208"/>
      <c r="BM121" s="151"/>
      <c r="BN121" s="208"/>
      <c r="BO121" s="151"/>
      <c r="BP121" s="151"/>
      <c r="BQ121" s="151"/>
    </row>
    <row r="122" spans="1:70" x14ac:dyDescent="0.25">
      <c r="C122" s="150"/>
      <c r="D122" s="150"/>
      <c r="E122" s="150"/>
      <c r="F122" s="150"/>
      <c r="G122" s="150"/>
      <c r="H122" s="150"/>
      <c r="I122" s="150"/>
      <c r="J122" s="187"/>
      <c r="K122" s="150"/>
      <c r="L122" s="150"/>
      <c r="M122" s="150"/>
      <c r="N122" s="150"/>
      <c r="O122" s="150"/>
      <c r="P122" s="150"/>
      <c r="Q122" s="150"/>
      <c r="T122" s="167"/>
      <c r="U122" s="167"/>
      <c r="V122" s="167"/>
      <c r="W122" s="167"/>
      <c r="X122" s="167"/>
      <c r="Y122" s="167"/>
      <c r="Z122" s="167"/>
      <c r="AC122" s="150"/>
      <c r="AD122" s="150"/>
      <c r="AE122" s="150"/>
      <c r="AF122" s="150"/>
      <c r="AG122" s="150"/>
      <c r="AH122" s="150"/>
      <c r="AI122" s="150"/>
      <c r="AJ122" s="187"/>
      <c r="AK122" s="150"/>
      <c r="AL122" s="150"/>
      <c r="AM122" s="150"/>
      <c r="AN122" s="150"/>
      <c r="AO122" s="150"/>
      <c r="AP122" s="150"/>
      <c r="AQ122" s="150"/>
      <c r="AS122" s="150"/>
      <c r="AT122" s="150"/>
      <c r="AU122" s="150"/>
      <c r="AV122" s="150"/>
      <c r="AW122" s="150"/>
      <c r="AZ122" s="167"/>
      <c r="BC122" s="150"/>
      <c r="BD122" s="150"/>
      <c r="BE122" s="150"/>
      <c r="BF122" s="150"/>
      <c r="BG122" s="150"/>
      <c r="BH122" s="150"/>
      <c r="BI122" s="150"/>
      <c r="BJ122" s="187"/>
      <c r="BK122" s="150"/>
      <c r="BL122" s="150"/>
      <c r="BM122" s="150"/>
      <c r="BN122" s="150"/>
      <c r="BO122" s="150"/>
      <c r="BP122" s="150"/>
      <c r="BQ122" s="150"/>
    </row>
    <row r="123" spans="1:70" s="150" customFormat="1" x14ac:dyDescent="0.25">
      <c r="A123" s="149"/>
      <c r="C123" s="151"/>
      <c r="F123" s="157"/>
      <c r="I123" s="151"/>
      <c r="J123" s="110"/>
      <c r="K123" s="151"/>
      <c r="L123" s="151"/>
      <c r="M123" s="151"/>
      <c r="N123" s="151"/>
      <c r="O123" s="151"/>
      <c r="P123" s="151"/>
      <c r="Q123" s="151"/>
      <c r="T123" s="167"/>
      <c r="U123" s="161"/>
      <c r="V123" s="167"/>
      <c r="W123" s="161"/>
      <c r="X123" s="167"/>
      <c r="Y123" s="161"/>
      <c r="Z123" s="167"/>
      <c r="AA123" s="149"/>
      <c r="AC123" s="151"/>
      <c r="AF123" s="157"/>
      <c r="AI123" s="151"/>
      <c r="AJ123" s="110"/>
      <c r="AK123" s="151"/>
      <c r="AL123" s="151"/>
      <c r="AM123" s="151"/>
      <c r="AN123" s="151"/>
      <c r="AO123" s="151"/>
      <c r="AP123" s="151"/>
      <c r="AQ123" s="151"/>
      <c r="AS123" s="151"/>
      <c r="AT123" s="151"/>
      <c r="AU123" s="151"/>
      <c r="AV123" s="151"/>
      <c r="AW123" s="151"/>
      <c r="AZ123" s="167"/>
      <c r="BA123" s="149"/>
      <c r="BC123" s="151"/>
      <c r="BF123" s="157"/>
      <c r="BI123" s="151"/>
      <c r="BJ123" s="110"/>
      <c r="BK123" s="151"/>
      <c r="BL123" s="151"/>
      <c r="BM123" s="151"/>
      <c r="BN123" s="151"/>
      <c r="BO123" s="151"/>
      <c r="BP123" s="151"/>
      <c r="BQ123" s="151"/>
    </row>
    <row r="124" spans="1:70" s="150" customFormat="1" x14ac:dyDescent="0.25">
      <c r="A124" s="149"/>
      <c r="C124" s="151"/>
      <c r="D124" s="151"/>
      <c r="E124" s="151"/>
      <c r="F124" s="151"/>
      <c r="G124" s="151"/>
      <c r="H124" s="151"/>
      <c r="J124" s="187"/>
      <c r="T124" s="167"/>
      <c r="U124" s="167"/>
      <c r="V124" s="167"/>
      <c r="W124" s="167"/>
      <c r="X124" s="167"/>
      <c r="Y124" s="167"/>
      <c r="Z124" s="167"/>
      <c r="AA124" s="149"/>
      <c r="AC124" s="151"/>
      <c r="AD124" s="151"/>
      <c r="AE124" s="151"/>
      <c r="AF124" s="151"/>
      <c r="AG124" s="151"/>
      <c r="AH124" s="151"/>
      <c r="AJ124" s="187"/>
      <c r="AZ124" s="167"/>
      <c r="BA124" s="149"/>
      <c r="BC124" s="151"/>
      <c r="BD124" s="151"/>
      <c r="BE124" s="151"/>
      <c r="BF124" s="151"/>
      <c r="BG124" s="151"/>
      <c r="BH124" s="151"/>
      <c r="BJ124" s="187"/>
    </row>
    <row r="125" spans="1:70" x14ac:dyDescent="0.25">
      <c r="C125" s="150"/>
      <c r="D125" s="150"/>
      <c r="E125" s="150"/>
      <c r="F125" s="150"/>
      <c r="G125" s="157"/>
      <c r="H125" s="150"/>
      <c r="I125" s="150"/>
      <c r="J125" s="187"/>
      <c r="K125" s="210"/>
      <c r="L125" s="150"/>
      <c r="M125" s="150"/>
      <c r="N125" s="150"/>
      <c r="O125" s="157"/>
      <c r="P125" s="150"/>
      <c r="Q125" s="150"/>
      <c r="T125" s="167"/>
      <c r="U125" s="161"/>
      <c r="V125" s="167"/>
      <c r="W125" s="161"/>
      <c r="X125" s="167"/>
      <c r="Y125" s="161"/>
      <c r="Z125" s="167"/>
      <c r="AC125" s="150"/>
      <c r="AD125" s="150"/>
      <c r="AE125" s="150"/>
      <c r="AF125" s="150"/>
      <c r="AG125" s="157"/>
      <c r="AH125" s="150"/>
      <c r="AI125" s="150"/>
      <c r="AJ125" s="187"/>
      <c r="AK125" s="210"/>
      <c r="AL125" s="150"/>
      <c r="AM125" s="150"/>
      <c r="AN125" s="150"/>
      <c r="AO125" s="157"/>
      <c r="AP125" s="150"/>
      <c r="AQ125" s="150"/>
      <c r="AZ125" s="167"/>
      <c r="BC125" s="150"/>
      <c r="BD125" s="150"/>
      <c r="BE125" s="150"/>
      <c r="BF125" s="150"/>
      <c r="BG125" s="157"/>
      <c r="BH125" s="150"/>
      <c r="BI125" s="150"/>
      <c r="BJ125" s="187"/>
      <c r="BK125" s="210"/>
      <c r="BL125" s="150"/>
      <c r="BM125" s="150"/>
      <c r="BN125" s="150"/>
      <c r="BO125" s="157"/>
      <c r="BP125" s="150"/>
      <c r="BQ125" s="150"/>
    </row>
    <row r="126" spans="1:70" s="150" customFormat="1" x14ac:dyDescent="0.25">
      <c r="A126" s="149"/>
      <c r="C126" s="151"/>
      <c r="D126" s="151"/>
      <c r="E126" s="151"/>
      <c r="F126" s="151"/>
      <c r="G126" s="151"/>
      <c r="H126" s="151"/>
      <c r="I126" s="151"/>
      <c r="J126" s="180"/>
      <c r="K126" s="151"/>
      <c r="L126" s="151"/>
      <c r="M126" s="151"/>
      <c r="N126" s="151"/>
      <c r="O126" s="151"/>
      <c r="P126" s="151"/>
      <c r="Q126" s="151"/>
      <c r="T126" s="167"/>
      <c r="U126" s="167"/>
      <c r="V126" s="167"/>
      <c r="W126" s="167"/>
      <c r="X126" s="167"/>
      <c r="Y126" s="167"/>
      <c r="Z126" s="167"/>
      <c r="AA126" s="149"/>
      <c r="AC126" s="151"/>
      <c r="AD126" s="151"/>
      <c r="AE126" s="151"/>
      <c r="AF126" s="151"/>
      <c r="AG126" s="151"/>
      <c r="AH126" s="151"/>
      <c r="AI126" s="151"/>
      <c r="AJ126" s="180"/>
      <c r="AK126" s="151"/>
      <c r="AL126" s="151"/>
      <c r="AM126" s="151"/>
      <c r="AN126" s="151"/>
      <c r="AO126" s="151"/>
      <c r="AP126" s="151"/>
      <c r="AQ126" s="151"/>
      <c r="AZ126" s="167"/>
      <c r="BA126" s="149"/>
      <c r="BC126" s="151"/>
      <c r="BD126" s="151"/>
      <c r="BE126" s="151"/>
      <c r="BF126" s="151"/>
      <c r="BG126" s="151"/>
      <c r="BH126" s="151"/>
      <c r="BI126" s="151"/>
      <c r="BJ126" s="180"/>
      <c r="BK126" s="151"/>
      <c r="BL126" s="151"/>
      <c r="BM126" s="151"/>
      <c r="BN126" s="151"/>
      <c r="BO126" s="151"/>
      <c r="BP126" s="151"/>
      <c r="BQ126" s="151"/>
    </row>
    <row r="127" spans="1:70" x14ac:dyDescent="0.25">
      <c r="C127" s="150"/>
      <c r="D127" s="150"/>
      <c r="E127" s="150"/>
      <c r="F127" s="150"/>
      <c r="H127" s="150"/>
      <c r="I127" s="188"/>
      <c r="J127" s="187"/>
      <c r="K127" s="150"/>
      <c r="L127" s="211"/>
      <c r="M127" s="150"/>
      <c r="N127" s="212"/>
      <c r="P127" s="159"/>
      <c r="Q127" s="159"/>
      <c r="T127" s="167"/>
      <c r="U127" s="161"/>
      <c r="V127" s="167"/>
      <c r="W127" s="161"/>
      <c r="X127" s="167"/>
      <c r="Y127" s="161"/>
      <c r="Z127" s="167"/>
      <c r="AC127" s="150"/>
      <c r="AD127" s="150"/>
      <c r="AE127" s="150"/>
      <c r="AF127" s="150"/>
      <c r="AH127" s="150"/>
      <c r="AI127" s="188"/>
      <c r="AJ127" s="187"/>
      <c r="AK127" s="150"/>
      <c r="AL127" s="211"/>
      <c r="AM127" s="150"/>
      <c r="AN127" s="212"/>
      <c r="AP127" s="159"/>
      <c r="AQ127" s="159"/>
      <c r="AZ127" s="167"/>
      <c r="BC127" s="150"/>
      <c r="BD127" s="150"/>
      <c r="BE127" s="150"/>
      <c r="BF127" s="150"/>
      <c r="BH127" s="150"/>
      <c r="BI127" s="188"/>
      <c r="BJ127" s="187"/>
      <c r="BK127" s="150"/>
      <c r="BL127" s="211"/>
      <c r="BM127" s="150"/>
      <c r="BN127" s="212"/>
      <c r="BP127" s="159"/>
      <c r="BQ127" s="159"/>
    </row>
    <row r="128" spans="1:70" s="150" customFormat="1" x14ac:dyDescent="0.25">
      <c r="A128" s="149"/>
      <c r="C128" s="151"/>
      <c r="D128" s="213"/>
      <c r="E128" s="151"/>
      <c r="F128" s="213"/>
      <c r="G128" s="151"/>
      <c r="H128" s="151"/>
      <c r="I128" s="151"/>
      <c r="J128" s="180"/>
      <c r="K128" s="151"/>
      <c r="L128" s="151"/>
      <c r="M128" s="151"/>
      <c r="N128" s="151"/>
      <c r="O128" s="151"/>
      <c r="P128" s="151"/>
      <c r="Q128" s="151"/>
      <c r="T128" s="167"/>
      <c r="U128" s="167"/>
      <c r="V128" s="167"/>
      <c r="W128" s="167"/>
      <c r="X128" s="167"/>
      <c r="Y128" s="167"/>
      <c r="Z128" s="167"/>
      <c r="AA128" s="149"/>
      <c r="AC128" s="151"/>
      <c r="AD128" s="213"/>
      <c r="AE128" s="151"/>
      <c r="AF128" s="213"/>
      <c r="AG128" s="151"/>
      <c r="AH128" s="151"/>
      <c r="AI128" s="151"/>
      <c r="AJ128" s="180"/>
      <c r="AK128" s="151"/>
      <c r="AL128" s="151"/>
      <c r="AM128" s="151"/>
      <c r="AN128" s="151"/>
      <c r="AO128" s="151"/>
      <c r="AP128" s="151"/>
      <c r="AQ128" s="151"/>
      <c r="AZ128" s="167"/>
      <c r="BA128" s="149"/>
      <c r="BC128" s="151"/>
      <c r="BD128" s="213"/>
      <c r="BE128" s="151"/>
      <c r="BF128" s="213"/>
      <c r="BG128" s="151"/>
      <c r="BH128" s="151"/>
      <c r="BI128" s="151"/>
      <c r="BJ128" s="180"/>
      <c r="BK128" s="151"/>
      <c r="BL128" s="151"/>
      <c r="BM128" s="151"/>
      <c r="BN128" s="151"/>
      <c r="BO128" s="151"/>
      <c r="BP128" s="151"/>
      <c r="BQ128" s="151"/>
    </row>
    <row r="129" spans="1:69" x14ac:dyDescent="0.25">
      <c r="C129" s="150"/>
      <c r="D129" s="150"/>
      <c r="E129" s="150"/>
      <c r="F129" s="150"/>
      <c r="G129" s="150"/>
      <c r="H129" s="150"/>
      <c r="I129" s="150"/>
      <c r="J129" s="187"/>
      <c r="K129" s="150"/>
      <c r="L129" s="150"/>
      <c r="M129" s="150"/>
      <c r="N129" s="150"/>
      <c r="O129" s="150"/>
      <c r="T129" s="167"/>
      <c r="U129" s="161"/>
      <c r="V129" s="167"/>
      <c r="W129" s="161"/>
      <c r="X129" s="167"/>
      <c r="Y129" s="161"/>
      <c r="Z129" s="167"/>
      <c r="AC129" s="150"/>
      <c r="AD129" s="150"/>
      <c r="AE129" s="150"/>
      <c r="AF129" s="150"/>
      <c r="AG129" s="150"/>
      <c r="AH129" s="150"/>
      <c r="AI129" s="150"/>
      <c r="AJ129" s="187"/>
      <c r="AK129" s="150"/>
      <c r="AL129" s="150"/>
      <c r="AM129" s="150"/>
      <c r="AN129" s="150"/>
      <c r="AO129" s="150"/>
      <c r="AZ129" s="167"/>
      <c r="BC129" s="150"/>
      <c r="BD129" s="150"/>
      <c r="BE129" s="150"/>
      <c r="BF129" s="150"/>
      <c r="BG129" s="150"/>
      <c r="BH129" s="150"/>
      <c r="BI129" s="150"/>
      <c r="BJ129" s="187"/>
      <c r="BK129" s="150"/>
      <c r="BL129" s="150"/>
      <c r="BM129" s="150"/>
      <c r="BN129" s="150"/>
      <c r="BO129" s="150"/>
    </row>
    <row r="130" spans="1:69" s="150" customFormat="1" x14ac:dyDescent="0.25">
      <c r="A130" s="149"/>
      <c r="C130" s="151"/>
      <c r="D130" s="151"/>
      <c r="E130" s="151"/>
      <c r="F130" s="151"/>
      <c r="G130" s="208"/>
      <c r="H130" s="151"/>
      <c r="I130" s="208"/>
      <c r="J130" s="110"/>
      <c r="K130" s="208"/>
      <c r="L130" s="151"/>
      <c r="M130" s="208"/>
      <c r="N130" s="151"/>
      <c r="O130" s="208"/>
      <c r="P130" s="151"/>
      <c r="Q130" s="151"/>
      <c r="T130" s="167"/>
      <c r="U130" s="167"/>
      <c r="V130" s="167"/>
      <c r="W130" s="167"/>
      <c r="X130" s="167"/>
      <c r="Y130" s="167"/>
      <c r="Z130" s="167"/>
      <c r="AA130" s="149"/>
      <c r="AC130" s="151"/>
      <c r="AD130" s="151"/>
      <c r="AE130" s="151"/>
      <c r="AF130" s="151"/>
      <c r="AG130" s="208"/>
      <c r="AH130" s="151"/>
      <c r="AI130" s="208"/>
      <c r="AJ130" s="110"/>
      <c r="AK130" s="208"/>
      <c r="AL130" s="151"/>
      <c r="AM130" s="208"/>
      <c r="AN130" s="151"/>
      <c r="AO130" s="208"/>
      <c r="AP130" s="151"/>
      <c r="AQ130" s="151"/>
      <c r="AZ130" s="167"/>
      <c r="BA130" s="149"/>
      <c r="BC130" s="151"/>
      <c r="BD130" s="151"/>
      <c r="BE130" s="151"/>
      <c r="BF130" s="151"/>
      <c r="BG130" s="208"/>
      <c r="BH130" s="151"/>
      <c r="BI130" s="208"/>
      <c r="BJ130" s="110"/>
      <c r="BK130" s="208"/>
      <c r="BL130" s="151"/>
      <c r="BM130" s="208"/>
      <c r="BN130" s="151"/>
      <c r="BO130" s="208"/>
      <c r="BP130" s="151"/>
      <c r="BQ130" s="151"/>
    </row>
    <row r="131" spans="1:69" x14ac:dyDescent="0.25">
      <c r="C131" s="150"/>
      <c r="D131" s="150"/>
      <c r="E131" s="150"/>
      <c r="F131" s="150"/>
      <c r="G131" s="150"/>
      <c r="H131" s="150"/>
      <c r="I131" s="150"/>
      <c r="J131" s="187"/>
      <c r="K131" s="150"/>
      <c r="L131" s="150"/>
      <c r="M131" s="150"/>
      <c r="N131" s="150"/>
      <c r="O131" s="150"/>
      <c r="P131" s="150"/>
      <c r="Q131" s="150"/>
      <c r="T131" s="167"/>
      <c r="U131" s="161"/>
      <c r="V131" s="167"/>
      <c r="W131" s="161"/>
      <c r="X131" s="167"/>
      <c r="Y131" s="161"/>
      <c r="Z131" s="167"/>
      <c r="AC131" s="150"/>
      <c r="AD131" s="150"/>
      <c r="AE131" s="150"/>
      <c r="AF131" s="150"/>
      <c r="AG131" s="150"/>
      <c r="AH131" s="150"/>
      <c r="AI131" s="150"/>
      <c r="AJ131" s="187"/>
      <c r="AK131" s="150"/>
      <c r="AL131" s="150"/>
      <c r="AM131" s="150"/>
      <c r="AN131" s="150"/>
      <c r="AO131" s="150"/>
      <c r="AP131" s="150"/>
      <c r="AQ131" s="150"/>
      <c r="AZ131" s="167"/>
      <c r="BC131" s="150"/>
      <c r="BD131" s="150"/>
      <c r="BE131" s="150"/>
      <c r="BF131" s="150"/>
      <c r="BG131" s="150"/>
      <c r="BH131" s="150"/>
      <c r="BI131" s="150"/>
      <c r="BJ131" s="187"/>
      <c r="BK131" s="150"/>
      <c r="BL131" s="150"/>
      <c r="BM131" s="150"/>
      <c r="BN131" s="150"/>
      <c r="BO131" s="150"/>
      <c r="BP131" s="150"/>
      <c r="BQ131" s="150"/>
    </row>
    <row r="132" spans="1:69" x14ac:dyDescent="0.25">
      <c r="C132" s="210"/>
      <c r="D132" s="150"/>
      <c r="E132" s="157"/>
      <c r="F132" s="150"/>
      <c r="G132" s="157"/>
      <c r="H132" s="150"/>
      <c r="I132" s="150"/>
      <c r="J132" s="110"/>
      <c r="T132" s="167"/>
      <c r="U132" s="167"/>
      <c r="V132" s="167"/>
      <c r="W132" s="167"/>
      <c r="X132" s="167"/>
      <c r="Y132" s="167"/>
      <c r="Z132" s="167"/>
      <c r="AC132" s="210"/>
      <c r="AD132" s="150"/>
      <c r="AE132" s="157"/>
      <c r="AF132" s="150"/>
      <c r="AG132" s="157"/>
      <c r="AH132" s="150"/>
      <c r="AI132" s="150"/>
      <c r="AJ132" s="110"/>
      <c r="AS132" s="150"/>
      <c r="AT132" s="150"/>
      <c r="AU132" s="150"/>
      <c r="AV132" s="150"/>
      <c r="AW132" s="150"/>
      <c r="AZ132" s="167"/>
      <c r="BC132" s="210"/>
      <c r="BD132" s="150"/>
      <c r="BE132" s="157"/>
      <c r="BF132" s="150"/>
      <c r="BG132" s="157"/>
      <c r="BH132" s="150"/>
      <c r="BI132" s="150"/>
      <c r="BJ132" s="110"/>
    </row>
    <row r="133" spans="1:69" x14ac:dyDescent="0.25">
      <c r="C133" s="150"/>
      <c r="D133" s="150"/>
      <c r="E133" s="157"/>
      <c r="F133" s="150"/>
      <c r="G133" s="157"/>
      <c r="H133" s="150"/>
      <c r="I133" s="150"/>
      <c r="J133" s="110"/>
      <c r="T133" s="167"/>
      <c r="U133" s="161"/>
      <c r="V133" s="167"/>
      <c r="W133" s="161"/>
      <c r="X133" s="167"/>
      <c r="Y133" s="161"/>
      <c r="Z133" s="167"/>
      <c r="AC133" s="150"/>
      <c r="AD133" s="150"/>
      <c r="AE133" s="157"/>
      <c r="AF133" s="150"/>
      <c r="AG133" s="157"/>
      <c r="AH133" s="150"/>
      <c r="AI133" s="150"/>
      <c r="AJ133" s="110"/>
      <c r="AZ133" s="167"/>
      <c r="BC133" s="150"/>
      <c r="BD133" s="150"/>
      <c r="BE133" s="157"/>
      <c r="BF133" s="150"/>
      <c r="BG133" s="157"/>
      <c r="BH133" s="150"/>
      <c r="BI133" s="150"/>
      <c r="BJ133" s="110"/>
    </row>
    <row r="134" spans="1:69" x14ac:dyDescent="0.25">
      <c r="C134" s="210"/>
      <c r="D134" s="150"/>
      <c r="E134" s="157"/>
      <c r="F134" s="150"/>
      <c r="G134" s="157"/>
      <c r="H134" s="150"/>
      <c r="J134" s="110"/>
      <c r="T134" s="167"/>
      <c r="U134" s="167"/>
      <c r="V134" s="167"/>
      <c r="W134" s="167"/>
      <c r="X134" s="167"/>
      <c r="Y134" s="167"/>
      <c r="Z134" s="167"/>
      <c r="AC134" s="210"/>
      <c r="AD134" s="150"/>
      <c r="AE134" s="157"/>
      <c r="AF134" s="150"/>
      <c r="AG134" s="157"/>
      <c r="AH134" s="150"/>
      <c r="AJ134" s="110"/>
      <c r="AS134" s="150"/>
      <c r="AT134" s="150"/>
      <c r="AU134" s="150"/>
      <c r="AV134" s="150"/>
      <c r="AW134" s="150"/>
      <c r="AZ134" s="167"/>
      <c r="BC134" s="210"/>
      <c r="BD134" s="150"/>
      <c r="BE134" s="157"/>
      <c r="BF134" s="150"/>
      <c r="BG134" s="157"/>
      <c r="BH134" s="150"/>
      <c r="BJ134" s="110"/>
    </row>
    <row r="135" spans="1:69" s="150" customFormat="1" ht="15" customHeight="1" x14ac:dyDescent="0.25">
      <c r="A135" s="149"/>
      <c r="C135" s="210"/>
      <c r="E135" s="157"/>
      <c r="G135" s="157"/>
      <c r="I135" s="151"/>
      <c r="J135" s="110"/>
      <c r="K135" s="151"/>
      <c r="L135" s="151"/>
      <c r="M135" s="151"/>
      <c r="N135" s="151"/>
      <c r="O135" s="151"/>
      <c r="P135" s="151"/>
      <c r="Q135" s="151"/>
      <c r="T135" s="167"/>
      <c r="U135" s="161"/>
      <c r="V135" s="167"/>
      <c r="W135" s="161"/>
      <c r="X135" s="167"/>
      <c r="Y135" s="161"/>
      <c r="Z135" s="167"/>
      <c r="AA135" s="149"/>
      <c r="AC135" s="210"/>
      <c r="AE135" s="157"/>
      <c r="AG135" s="157"/>
      <c r="AI135" s="151"/>
      <c r="AJ135" s="110"/>
      <c r="AK135" s="151"/>
      <c r="AL135" s="151"/>
      <c r="AM135" s="151"/>
      <c r="AN135" s="151"/>
      <c r="AO135" s="151"/>
      <c r="AP135" s="151"/>
      <c r="AQ135" s="151"/>
      <c r="AS135" s="151"/>
      <c r="AT135" s="151"/>
      <c r="AU135" s="151"/>
      <c r="AV135" s="151"/>
      <c r="AW135" s="151"/>
      <c r="AZ135" s="167"/>
      <c r="BA135" s="149"/>
      <c r="BC135" s="210"/>
      <c r="BE135" s="157"/>
      <c r="BG135" s="157"/>
      <c r="BI135" s="151"/>
      <c r="BJ135" s="110"/>
      <c r="BK135" s="151"/>
      <c r="BL135" s="151"/>
      <c r="BM135" s="151"/>
      <c r="BN135" s="151"/>
      <c r="BO135" s="151"/>
      <c r="BP135" s="151"/>
      <c r="BQ135" s="151"/>
    </row>
    <row r="136" spans="1:69" ht="15" customHeight="1" x14ac:dyDescent="0.25">
      <c r="C136" s="150"/>
      <c r="D136" s="150"/>
      <c r="E136" s="150"/>
      <c r="F136" s="150"/>
      <c r="G136" s="150"/>
      <c r="H136" s="150"/>
      <c r="I136" s="150"/>
      <c r="J136" s="187"/>
      <c r="K136" s="150"/>
      <c r="L136" s="150"/>
      <c r="M136" s="150"/>
      <c r="N136" s="150"/>
      <c r="O136" s="150"/>
      <c r="P136" s="150"/>
      <c r="Q136" s="150"/>
      <c r="T136" s="167"/>
      <c r="U136" s="167"/>
      <c r="V136" s="167"/>
      <c r="W136" s="167"/>
      <c r="X136" s="167"/>
      <c r="Y136" s="167"/>
      <c r="Z136" s="167"/>
      <c r="AC136" s="150"/>
      <c r="AD136" s="150"/>
      <c r="AE136" s="150"/>
      <c r="AF136" s="150"/>
      <c r="AG136" s="150"/>
      <c r="AH136" s="150"/>
      <c r="AI136" s="150"/>
      <c r="AJ136" s="187"/>
      <c r="AK136" s="150"/>
      <c r="AL136" s="150"/>
      <c r="AM136" s="150"/>
      <c r="AN136" s="150"/>
      <c r="AO136" s="150"/>
      <c r="AP136" s="150"/>
      <c r="AQ136" s="150"/>
      <c r="AS136" s="150"/>
      <c r="AT136" s="150"/>
      <c r="AU136" s="150"/>
      <c r="AV136" s="150"/>
      <c r="AW136" s="150"/>
      <c r="AZ136" s="167"/>
      <c r="BC136" s="150"/>
      <c r="BD136" s="150"/>
      <c r="BE136" s="150"/>
      <c r="BF136" s="150"/>
      <c r="BG136" s="150"/>
      <c r="BH136" s="150"/>
      <c r="BI136" s="150"/>
      <c r="BJ136" s="187"/>
      <c r="BK136" s="150"/>
      <c r="BL136" s="150"/>
      <c r="BM136" s="150"/>
      <c r="BN136" s="150"/>
      <c r="BO136" s="150"/>
      <c r="BP136" s="150"/>
      <c r="BQ136" s="150"/>
    </row>
    <row r="137" spans="1:69" ht="15" customHeight="1" x14ac:dyDescent="0.25">
      <c r="J137" s="110"/>
      <c r="T137" s="167"/>
      <c r="U137" s="161"/>
      <c r="V137" s="167"/>
      <c r="W137" s="161"/>
      <c r="X137" s="167"/>
      <c r="Y137" s="161"/>
      <c r="Z137" s="167"/>
      <c r="AJ137" s="110"/>
      <c r="AZ137" s="167"/>
      <c r="BJ137" s="110"/>
    </row>
    <row r="138" spans="1:69" ht="15" customHeight="1" x14ac:dyDescent="0.25">
      <c r="T138" s="167"/>
      <c r="U138" s="167"/>
      <c r="V138" s="167"/>
      <c r="W138" s="167"/>
      <c r="X138" s="167"/>
      <c r="Y138" s="167"/>
      <c r="Z138" s="167"/>
      <c r="AS138" s="150"/>
      <c r="AT138" s="150"/>
      <c r="AU138" s="150"/>
      <c r="AV138" s="150"/>
      <c r="AW138" s="150"/>
      <c r="AZ138" s="167"/>
    </row>
    <row r="139" spans="1:69" s="150" customFormat="1" ht="15" customHeight="1" x14ac:dyDescent="0.25">
      <c r="A139" s="149"/>
      <c r="C139" s="151"/>
      <c r="D139" s="151"/>
      <c r="E139" s="151"/>
      <c r="F139" s="151"/>
      <c r="G139" s="151"/>
      <c r="H139" s="151"/>
      <c r="I139" s="151"/>
      <c r="J139" s="110"/>
      <c r="K139" s="151"/>
      <c r="L139" s="151"/>
      <c r="M139" s="151"/>
      <c r="N139" s="151"/>
      <c r="O139" s="151"/>
      <c r="P139" s="151"/>
      <c r="Q139" s="151"/>
      <c r="T139" s="167"/>
      <c r="U139" s="161"/>
      <c r="V139" s="167"/>
      <c r="W139" s="161"/>
      <c r="X139" s="167"/>
      <c r="Y139" s="161"/>
      <c r="Z139" s="167"/>
      <c r="AA139" s="149"/>
      <c r="AC139" s="151"/>
      <c r="AD139" s="151"/>
      <c r="AE139" s="151"/>
      <c r="AF139" s="151"/>
      <c r="AG139" s="151"/>
      <c r="AH139" s="151"/>
      <c r="AI139" s="151"/>
      <c r="AJ139" s="110"/>
      <c r="AK139" s="151"/>
      <c r="AL139" s="151"/>
      <c r="AM139" s="151"/>
      <c r="AN139" s="151"/>
      <c r="AO139" s="151"/>
      <c r="AP139" s="151"/>
      <c r="AQ139" s="151"/>
      <c r="AS139" s="151"/>
      <c r="AT139" s="151"/>
      <c r="AU139" s="151"/>
      <c r="AV139" s="151"/>
      <c r="AW139" s="151"/>
      <c r="AZ139" s="167"/>
      <c r="BA139" s="149"/>
      <c r="BC139" s="151"/>
      <c r="BD139" s="151"/>
      <c r="BE139" s="151"/>
      <c r="BF139" s="151"/>
      <c r="BG139" s="151"/>
      <c r="BH139" s="151"/>
      <c r="BI139" s="151"/>
      <c r="BJ139" s="110"/>
      <c r="BK139" s="151"/>
      <c r="BL139" s="151"/>
      <c r="BM139" s="151"/>
      <c r="BN139" s="151"/>
      <c r="BO139" s="151"/>
      <c r="BP139" s="151"/>
      <c r="BQ139" s="151"/>
    </row>
    <row r="140" spans="1:69" x14ac:dyDescent="0.25">
      <c r="C140" s="150"/>
      <c r="D140" s="150"/>
      <c r="E140" s="150"/>
      <c r="F140" s="150"/>
      <c r="G140" s="150"/>
      <c r="H140" s="150"/>
      <c r="I140" s="150"/>
      <c r="J140" s="187"/>
      <c r="K140" s="150"/>
      <c r="L140" s="150"/>
      <c r="M140" s="150"/>
      <c r="N140" s="150"/>
      <c r="O140" s="150"/>
      <c r="P140" s="150"/>
      <c r="Q140" s="150"/>
      <c r="T140" s="167"/>
      <c r="U140" s="167"/>
      <c r="V140" s="167"/>
      <c r="W140" s="167"/>
      <c r="X140" s="167"/>
      <c r="Y140" s="167"/>
      <c r="Z140" s="167"/>
      <c r="AC140" s="150"/>
      <c r="AD140" s="150"/>
      <c r="AE140" s="150"/>
      <c r="AF140" s="150"/>
      <c r="AG140" s="150"/>
      <c r="AH140" s="150"/>
      <c r="AI140" s="150"/>
      <c r="AJ140" s="187"/>
      <c r="AK140" s="150"/>
      <c r="AL140" s="150"/>
      <c r="AM140" s="150"/>
      <c r="AN140" s="150"/>
      <c r="AO140" s="150"/>
      <c r="AP140" s="150"/>
      <c r="AQ140" s="150"/>
      <c r="AS140" s="150"/>
      <c r="AT140" s="150"/>
      <c r="AU140" s="150"/>
      <c r="AV140" s="150"/>
      <c r="AW140" s="150"/>
      <c r="AZ140" s="167"/>
      <c r="BC140" s="150"/>
      <c r="BD140" s="150"/>
      <c r="BE140" s="150"/>
      <c r="BF140" s="150"/>
      <c r="BG140" s="150"/>
      <c r="BH140" s="150"/>
      <c r="BI140" s="150"/>
      <c r="BJ140" s="187"/>
      <c r="BK140" s="150"/>
      <c r="BL140" s="150"/>
      <c r="BM140" s="150"/>
      <c r="BN140" s="150"/>
      <c r="BO140" s="150"/>
      <c r="BP140" s="150"/>
      <c r="BQ140" s="150"/>
    </row>
    <row r="141" spans="1:69" s="210" customFormat="1" x14ac:dyDescent="0.25">
      <c r="A141" s="214"/>
      <c r="C141" s="151"/>
      <c r="D141" s="151"/>
      <c r="E141" s="151"/>
      <c r="F141" s="151"/>
      <c r="G141" s="151"/>
      <c r="H141" s="151"/>
      <c r="I141" s="151"/>
      <c r="J141" s="110"/>
      <c r="K141" s="151"/>
      <c r="L141" s="151"/>
      <c r="M141" s="151"/>
      <c r="N141" s="151"/>
      <c r="O141" s="151"/>
      <c r="P141" s="151"/>
      <c r="Q141" s="151"/>
      <c r="T141" s="167"/>
      <c r="U141" s="161"/>
      <c r="V141" s="167"/>
      <c r="W141" s="161"/>
      <c r="X141" s="167"/>
      <c r="Y141" s="161"/>
      <c r="Z141" s="167"/>
      <c r="AA141" s="214"/>
      <c r="AC141" s="151"/>
      <c r="AD141" s="151"/>
      <c r="AE141" s="151"/>
      <c r="AF141" s="151"/>
      <c r="AG141" s="151"/>
      <c r="AH141" s="151"/>
      <c r="AI141" s="151"/>
      <c r="AJ141" s="110"/>
      <c r="AK141" s="151"/>
      <c r="AL141" s="151"/>
      <c r="AM141" s="151"/>
      <c r="AN141" s="151"/>
      <c r="AO141" s="151"/>
      <c r="AP141" s="151"/>
      <c r="AQ141" s="151"/>
      <c r="AS141" s="151"/>
      <c r="AT141" s="151"/>
      <c r="AU141" s="151"/>
      <c r="AV141" s="151"/>
      <c r="AW141" s="151"/>
      <c r="AZ141" s="167"/>
      <c r="BA141" s="214"/>
      <c r="BC141" s="151"/>
      <c r="BD141" s="151"/>
      <c r="BE141" s="151"/>
      <c r="BF141" s="151"/>
      <c r="BG141" s="151"/>
      <c r="BH141" s="151"/>
      <c r="BI141" s="151"/>
      <c r="BJ141" s="110"/>
      <c r="BK141" s="151"/>
      <c r="BL141" s="151"/>
      <c r="BM141" s="151"/>
      <c r="BN141" s="151"/>
      <c r="BO141" s="151"/>
      <c r="BP141" s="151"/>
      <c r="BQ141" s="151"/>
    </row>
    <row r="142" spans="1:69" x14ac:dyDescent="0.25">
      <c r="C142" s="210"/>
      <c r="D142" s="210"/>
      <c r="E142" s="210"/>
      <c r="F142" s="210"/>
      <c r="G142" s="210"/>
      <c r="H142" s="210"/>
      <c r="I142" s="210"/>
      <c r="J142" s="187"/>
      <c r="K142" s="210"/>
      <c r="L142" s="210"/>
      <c r="M142" s="210"/>
      <c r="N142" s="210"/>
      <c r="O142" s="210"/>
      <c r="P142" s="210"/>
      <c r="Q142" s="210"/>
      <c r="T142" s="167"/>
      <c r="U142" s="167"/>
      <c r="V142" s="167"/>
      <c r="W142" s="167"/>
      <c r="X142" s="167"/>
      <c r="Y142" s="167"/>
      <c r="Z142" s="167"/>
      <c r="AC142" s="210"/>
      <c r="AD142" s="210"/>
      <c r="AE142" s="210"/>
      <c r="AF142" s="210"/>
      <c r="AG142" s="210"/>
      <c r="AH142" s="210"/>
      <c r="AI142" s="210"/>
      <c r="AJ142" s="187"/>
      <c r="AK142" s="210"/>
      <c r="AL142" s="210"/>
      <c r="AM142" s="210"/>
      <c r="AN142" s="210"/>
      <c r="AO142" s="210"/>
      <c r="AP142" s="210"/>
      <c r="AQ142" s="210"/>
      <c r="AS142" s="150"/>
      <c r="AT142" s="150"/>
      <c r="AU142" s="150"/>
      <c r="AV142" s="150"/>
      <c r="AW142" s="150"/>
      <c r="AZ142" s="167"/>
      <c r="BC142" s="210"/>
      <c r="BD142" s="210"/>
      <c r="BE142" s="210"/>
      <c r="BF142" s="210"/>
      <c r="BG142" s="210"/>
      <c r="BH142" s="210"/>
      <c r="BI142" s="210"/>
      <c r="BJ142" s="187"/>
      <c r="BK142" s="210"/>
      <c r="BL142" s="210"/>
      <c r="BM142" s="210"/>
      <c r="BN142" s="210"/>
      <c r="BO142" s="210"/>
      <c r="BP142" s="210"/>
      <c r="BQ142" s="210"/>
    </row>
    <row r="143" spans="1:69" x14ac:dyDescent="0.25">
      <c r="T143" s="167"/>
      <c r="U143" s="161"/>
      <c r="V143" s="167"/>
      <c r="W143" s="161"/>
      <c r="X143" s="167"/>
      <c r="Y143" s="161"/>
      <c r="Z143" s="167"/>
      <c r="AZ143" s="167"/>
    </row>
    <row r="144" spans="1:69" ht="8.1" customHeight="1" x14ac:dyDescent="0.25">
      <c r="T144" s="167"/>
      <c r="U144" s="167"/>
      <c r="V144" s="167"/>
      <c r="W144" s="167"/>
      <c r="X144" s="167"/>
      <c r="Y144" s="167"/>
      <c r="Z144" s="167"/>
      <c r="AS144" s="150"/>
      <c r="AT144" s="150"/>
      <c r="AU144" s="150"/>
      <c r="AV144" s="150"/>
      <c r="AW144" s="150"/>
      <c r="AZ144" s="167"/>
    </row>
    <row r="145" spans="1:69" x14ac:dyDescent="0.25">
      <c r="J145" s="110"/>
      <c r="T145" s="167"/>
      <c r="U145" s="161"/>
      <c r="V145" s="167"/>
      <c r="W145" s="161"/>
      <c r="X145" s="167"/>
      <c r="Y145" s="161"/>
      <c r="Z145" s="167"/>
      <c r="AJ145" s="110"/>
      <c r="AZ145" s="167"/>
      <c r="BJ145" s="110"/>
    </row>
    <row r="146" spans="1:69" x14ac:dyDescent="0.25">
      <c r="T146" s="167"/>
      <c r="U146" s="167"/>
      <c r="V146" s="167"/>
      <c r="W146" s="167"/>
      <c r="X146" s="167"/>
      <c r="Y146" s="167"/>
      <c r="Z146" s="167"/>
      <c r="AS146" s="150"/>
      <c r="AT146" s="150"/>
      <c r="AU146" s="150"/>
      <c r="AV146" s="150"/>
      <c r="AW146" s="150"/>
      <c r="AZ146" s="167"/>
    </row>
    <row r="147" spans="1:69" x14ac:dyDescent="0.25">
      <c r="T147" s="167"/>
      <c r="U147" s="161"/>
      <c r="V147" s="167"/>
      <c r="W147" s="161"/>
      <c r="X147" s="167"/>
      <c r="Y147" s="161"/>
      <c r="Z147" s="167"/>
      <c r="AZ147" s="167"/>
    </row>
    <row r="148" spans="1:69" s="150" customFormat="1" ht="8.1" customHeight="1" x14ac:dyDescent="0.25">
      <c r="A148" s="149"/>
      <c r="C148" s="151"/>
      <c r="D148" s="151"/>
      <c r="E148" s="151"/>
      <c r="F148" s="151"/>
      <c r="G148" s="151"/>
      <c r="H148" s="151"/>
      <c r="I148" s="151"/>
      <c r="J148" s="180"/>
      <c r="K148" s="151"/>
      <c r="L148" s="151"/>
      <c r="M148" s="151"/>
      <c r="N148" s="151"/>
      <c r="O148" s="151"/>
      <c r="P148" s="151"/>
      <c r="Q148" s="151"/>
      <c r="T148" s="167"/>
      <c r="U148" s="167"/>
      <c r="V148" s="167"/>
      <c r="W148" s="167"/>
      <c r="X148" s="167"/>
      <c r="Y148" s="167"/>
      <c r="Z148" s="167"/>
      <c r="AA148" s="149"/>
      <c r="AC148" s="151"/>
      <c r="AD148" s="151"/>
      <c r="AE148" s="151"/>
      <c r="AF148" s="151"/>
      <c r="AG148" s="151"/>
      <c r="AH148" s="151"/>
      <c r="AI148" s="151"/>
      <c r="AJ148" s="180"/>
      <c r="AK148" s="151"/>
      <c r="AL148" s="151"/>
      <c r="AM148" s="151"/>
      <c r="AN148" s="151"/>
      <c r="AO148" s="151"/>
      <c r="AP148" s="151"/>
      <c r="AQ148" s="151"/>
      <c r="AZ148" s="167"/>
      <c r="BA148" s="149"/>
      <c r="BC148" s="151"/>
      <c r="BD148" s="151"/>
      <c r="BE148" s="151"/>
      <c r="BF148" s="151"/>
      <c r="BG148" s="151"/>
      <c r="BH148" s="151"/>
      <c r="BI148" s="151"/>
      <c r="BJ148" s="180"/>
      <c r="BK148" s="151"/>
      <c r="BL148" s="151"/>
      <c r="BM148" s="151"/>
      <c r="BN148" s="151"/>
      <c r="BO148" s="151"/>
      <c r="BP148" s="151"/>
      <c r="BQ148" s="151"/>
    </row>
    <row r="149" spans="1:69" x14ac:dyDescent="0.25">
      <c r="C149" s="150"/>
      <c r="D149" s="150"/>
      <c r="E149" s="150"/>
      <c r="F149" s="150"/>
      <c r="G149" s="150"/>
      <c r="H149" s="150"/>
      <c r="I149" s="150"/>
      <c r="J149" s="187"/>
      <c r="K149" s="150"/>
      <c r="L149" s="150"/>
      <c r="M149" s="150"/>
      <c r="N149" s="150"/>
      <c r="O149" s="150"/>
      <c r="P149" s="150"/>
      <c r="Q149" s="150"/>
      <c r="T149" s="167"/>
      <c r="U149" s="161"/>
      <c r="V149" s="167"/>
      <c r="W149" s="161"/>
      <c r="X149" s="167"/>
      <c r="Y149" s="161"/>
      <c r="Z149" s="167"/>
      <c r="AC149" s="150"/>
      <c r="AD149" s="150"/>
      <c r="AE149" s="150"/>
      <c r="AF149" s="150"/>
      <c r="AG149" s="150"/>
      <c r="AH149" s="150"/>
      <c r="AI149" s="150"/>
      <c r="AJ149" s="187"/>
      <c r="AK149" s="150"/>
      <c r="AL149" s="150"/>
      <c r="AM149" s="150"/>
      <c r="AN149" s="150"/>
      <c r="AO149" s="150"/>
      <c r="AP149" s="150"/>
      <c r="AQ149" s="150"/>
      <c r="AZ149" s="167"/>
      <c r="BC149" s="150"/>
      <c r="BD149" s="150"/>
      <c r="BE149" s="150"/>
      <c r="BF149" s="150"/>
      <c r="BG149" s="150"/>
      <c r="BH149" s="150"/>
      <c r="BI149" s="150"/>
      <c r="BJ149" s="187"/>
      <c r="BK149" s="150"/>
      <c r="BL149" s="150"/>
      <c r="BM149" s="150"/>
      <c r="BN149" s="150"/>
      <c r="BO149" s="150"/>
      <c r="BP149" s="150"/>
      <c r="BQ149" s="150"/>
    </row>
    <row r="150" spans="1:69" x14ac:dyDescent="0.25">
      <c r="T150" s="167"/>
      <c r="U150" s="167"/>
      <c r="V150" s="167"/>
      <c r="W150" s="167"/>
      <c r="X150" s="167"/>
      <c r="Y150" s="167"/>
      <c r="Z150" s="167"/>
      <c r="AS150" s="150"/>
      <c r="AT150" s="150"/>
      <c r="AU150" s="150"/>
      <c r="AV150" s="150"/>
      <c r="AW150" s="150"/>
      <c r="AZ150" s="167"/>
    </row>
    <row r="151" spans="1:69" x14ac:dyDescent="0.25">
      <c r="T151" s="167"/>
      <c r="U151" s="161"/>
      <c r="V151" s="167"/>
      <c r="W151" s="161"/>
      <c r="X151" s="167"/>
      <c r="Y151" s="161"/>
      <c r="Z151" s="167"/>
      <c r="AZ151" s="167"/>
    </row>
    <row r="152" spans="1:69" x14ac:dyDescent="0.25">
      <c r="T152" s="167"/>
      <c r="U152" s="167"/>
      <c r="V152" s="167"/>
      <c r="W152" s="167"/>
      <c r="X152" s="167"/>
      <c r="Y152" s="167"/>
      <c r="Z152" s="167"/>
      <c r="AS152" s="150"/>
      <c r="AT152" s="150"/>
      <c r="AU152" s="150"/>
      <c r="AV152" s="150"/>
      <c r="AW152" s="150"/>
      <c r="AZ152" s="167"/>
    </row>
    <row r="153" spans="1:69" x14ac:dyDescent="0.25">
      <c r="T153" s="167"/>
      <c r="U153" s="161"/>
      <c r="V153" s="167"/>
      <c r="W153" s="161"/>
      <c r="X153" s="167"/>
      <c r="Y153" s="161"/>
      <c r="Z153" s="167"/>
      <c r="AZ153" s="167"/>
    </row>
    <row r="154" spans="1:69" x14ac:dyDescent="0.25">
      <c r="T154" s="167"/>
      <c r="U154" s="167"/>
      <c r="V154" s="167"/>
      <c r="W154" s="167"/>
      <c r="X154" s="167"/>
      <c r="Y154" s="167"/>
      <c r="Z154" s="167"/>
      <c r="AS154" s="150"/>
      <c r="AT154" s="150"/>
      <c r="AU154" s="150"/>
      <c r="AV154" s="150"/>
      <c r="AW154" s="150"/>
      <c r="AZ154" s="167"/>
    </row>
    <row r="155" spans="1:69" ht="8.1" customHeight="1" x14ac:dyDescent="0.25">
      <c r="T155" s="167"/>
      <c r="U155" s="161"/>
      <c r="V155" s="167"/>
      <c r="W155" s="161"/>
      <c r="X155" s="167"/>
      <c r="Y155" s="161"/>
      <c r="Z155" s="167"/>
      <c r="AZ155" s="167"/>
    </row>
    <row r="156" spans="1:69" x14ac:dyDescent="0.25">
      <c r="T156" s="167"/>
      <c r="U156" s="167"/>
      <c r="V156" s="167"/>
      <c r="W156" s="167"/>
      <c r="X156" s="167"/>
      <c r="Y156" s="167"/>
      <c r="Z156" s="167"/>
      <c r="AS156" s="150"/>
      <c r="AT156" s="150"/>
      <c r="AU156" s="150"/>
      <c r="AV156" s="150"/>
      <c r="AW156" s="150"/>
      <c r="AZ156" s="167"/>
    </row>
    <row r="157" spans="1:69" s="150" customFormat="1" ht="8.1" customHeight="1" x14ac:dyDescent="0.25">
      <c r="A157" s="149"/>
      <c r="C157" s="151"/>
      <c r="D157" s="151"/>
      <c r="E157" s="151"/>
      <c r="F157" s="151"/>
      <c r="G157" s="151"/>
      <c r="H157" s="151"/>
      <c r="I157" s="151"/>
      <c r="J157" s="180"/>
      <c r="K157" s="151"/>
      <c r="L157" s="151"/>
      <c r="M157" s="151"/>
      <c r="N157" s="151"/>
      <c r="O157" s="151"/>
      <c r="P157" s="151"/>
      <c r="Q157" s="151"/>
      <c r="T157" s="167"/>
      <c r="U157" s="161"/>
      <c r="V157" s="167"/>
      <c r="W157" s="161"/>
      <c r="X157" s="167"/>
      <c r="Y157" s="161"/>
      <c r="Z157" s="167"/>
      <c r="AA157" s="149"/>
      <c r="AC157" s="151"/>
      <c r="AD157" s="151"/>
      <c r="AE157" s="151"/>
      <c r="AF157" s="151"/>
      <c r="AG157" s="151"/>
      <c r="AH157" s="151"/>
      <c r="AI157" s="151"/>
      <c r="AJ157" s="180"/>
      <c r="AK157" s="151"/>
      <c r="AL157" s="151"/>
      <c r="AM157" s="151"/>
      <c r="AN157" s="151"/>
      <c r="AO157" s="151"/>
      <c r="AP157" s="151"/>
      <c r="AQ157" s="151"/>
      <c r="AS157" s="151"/>
      <c r="AT157" s="151"/>
      <c r="AU157" s="151"/>
      <c r="AV157" s="151"/>
      <c r="AW157" s="151"/>
      <c r="AZ157" s="167"/>
      <c r="BA157" s="149"/>
      <c r="BC157" s="151"/>
      <c r="BD157" s="151"/>
      <c r="BE157" s="151"/>
      <c r="BF157" s="151"/>
      <c r="BG157" s="151"/>
      <c r="BH157" s="151"/>
      <c r="BI157" s="151"/>
      <c r="BJ157" s="180"/>
      <c r="BK157" s="151"/>
      <c r="BL157" s="151"/>
      <c r="BM157" s="151"/>
      <c r="BN157" s="151"/>
      <c r="BO157" s="151"/>
      <c r="BP157" s="151"/>
      <c r="BQ157" s="151"/>
    </row>
    <row r="158" spans="1:69" x14ac:dyDescent="0.25">
      <c r="C158" s="150"/>
      <c r="D158" s="150"/>
      <c r="E158" s="150"/>
      <c r="F158" s="150"/>
      <c r="G158" s="150"/>
      <c r="H158" s="150"/>
      <c r="I158" s="150"/>
      <c r="J158" s="187"/>
      <c r="K158" s="150"/>
      <c r="L158" s="150"/>
      <c r="M158" s="150"/>
      <c r="N158" s="150"/>
      <c r="O158" s="150"/>
      <c r="P158" s="150"/>
      <c r="Q158" s="150"/>
      <c r="T158" s="167"/>
      <c r="U158" s="167"/>
      <c r="V158" s="167"/>
      <c r="W158" s="167"/>
      <c r="X158" s="167"/>
      <c r="Y158" s="167"/>
      <c r="Z158" s="167"/>
      <c r="AC158" s="150"/>
      <c r="AD158" s="150"/>
      <c r="AE158" s="150"/>
      <c r="AF158" s="150"/>
      <c r="AG158" s="150"/>
      <c r="AH158" s="150"/>
      <c r="AI158" s="150"/>
      <c r="AJ158" s="187"/>
      <c r="AK158" s="150"/>
      <c r="AL158" s="150"/>
      <c r="AM158" s="150"/>
      <c r="AN158" s="150"/>
      <c r="AO158" s="150"/>
      <c r="AP158" s="150"/>
      <c r="AQ158" s="150"/>
      <c r="AS158" s="150"/>
      <c r="AT158" s="150"/>
      <c r="AU158" s="150"/>
      <c r="AV158" s="150"/>
      <c r="AW158" s="150"/>
      <c r="AZ158" s="167"/>
      <c r="BC158" s="150"/>
      <c r="BD158" s="150"/>
      <c r="BE158" s="150"/>
      <c r="BF158" s="150"/>
      <c r="BG158" s="150"/>
      <c r="BH158" s="150"/>
      <c r="BI158" s="150"/>
      <c r="BJ158" s="187"/>
      <c r="BK158" s="150"/>
      <c r="BL158" s="150"/>
      <c r="BM158" s="150"/>
      <c r="BN158" s="150"/>
      <c r="BO158" s="150"/>
      <c r="BP158" s="150"/>
      <c r="BQ158" s="150"/>
    </row>
    <row r="159" spans="1:69" x14ac:dyDescent="0.25">
      <c r="T159" s="167"/>
      <c r="U159" s="161"/>
      <c r="V159" s="167"/>
      <c r="W159" s="161"/>
      <c r="X159" s="167"/>
      <c r="Y159" s="161"/>
      <c r="Z159" s="167"/>
      <c r="AZ159" s="167"/>
    </row>
    <row r="160" spans="1:69" x14ac:dyDescent="0.25">
      <c r="T160" s="167"/>
      <c r="U160" s="167"/>
      <c r="V160" s="167"/>
      <c r="W160" s="167"/>
      <c r="X160" s="167"/>
      <c r="Y160" s="167"/>
      <c r="Z160" s="167"/>
      <c r="AS160" s="150"/>
      <c r="AT160" s="150"/>
      <c r="AU160" s="150"/>
      <c r="AV160" s="150"/>
      <c r="AW160" s="150"/>
      <c r="AZ160" s="167"/>
    </row>
    <row r="161" spans="10:70" ht="8.1" customHeight="1" x14ac:dyDescent="0.25">
      <c r="T161" s="167"/>
      <c r="U161" s="161"/>
      <c r="V161" s="167"/>
      <c r="W161" s="161"/>
      <c r="X161" s="167"/>
      <c r="Y161" s="161"/>
      <c r="Z161" s="167"/>
      <c r="AZ161" s="167"/>
    </row>
    <row r="162" spans="10:70" x14ac:dyDescent="0.25">
      <c r="J162" s="110"/>
      <c r="T162" s="167"/>
      <c r="U162" s="167"/>
      <c r="V162" s="167"/>
      <c r="W162" s="167"/>
      <c r="X162" s="167"/>
      <c r="Y162" s="167"/>
      <c r="Z162" s="167"/>
      <c r="AJ162" s="110"/>
      <c r="AS162" s="150"/>
      <c r="AT162" s="150"/>
      <c r="AU162" s="150"/>
      <c r="AV162" s="150"/>
      <c r="AW162" s="150"/>
      <c r="AZ162" s="167"/>
      <c r="BJ162" s="110"/>
    </row>
    <row r="163" spans="10:70" x14ac:dyDescent="0.25">
      <c r="T163" s="167"/>
      <c r="U163" s="161"/>
      <c r="V163" s="167"/>
      <c r="W163" s="161"/>
      <c r="X163" s="167"/>
      <c r="Y163" s="161"/>
      <c r="Z163" s="167"/>
      <c r="AZ163" s="167"/>
    </row>
    <row r="164" spans="10:70" x14ac:dyDescent="0.25">
      <c r="T164" s="167"/>
      <c r="U164" s="167"/>
      <c r="V164" s="167"/>
      <c r="W164" s="167"/>
      <c r="X164" s="167"/>
      <c r="Y164" s="167"/>
      <c r="Z164" s="167"/>
      <c r="AS164" s="150"/>
      <c r="AT164" s="150"/>
      <c r="AU164" s="150"/>
      <c r="AV164" s="150"/>
      <c r="AW164" s="150"/>
      <c r="AZ164" s="167"/>
    </row>
    <row r="165" spans="10:70" x14ac:dyDescent="0.25">
      <c r="T165" s="167"/>
      <c r="U165" s="161"/>
      <c r="V165" s="167"/>
      <c r="W165" s="161"/>
      <c r="X165" s="167"/>
      <c r="Y165" s="161"/>
      <c r="Z165" s="167"/>
      <c r="AZ165" s="167"/>
    </row>
    <row r="166" spans="10:70" x14ac:dyDescent="0.25">
      <c r="T166" s="167"/>
      <c r="U166" s="167"/>
      <c r="V166" s="167"/>
      <c r="W166" s="167"/>
      <c r="X166" s="167"/>
      <c r="Y166" s="167"/>
      <c r="Z166" s="167"/>
      <c r="AS166" s="150"/>
      <c r="AT166" s="150"/>
      <c r="AU166" s="150"/>
      <c r="AV166" s="150"/>
      <c r="AW166" s="150"/>
      <c r="AZ166" s="167"/>
    </row>
    <row r="167" spans="10:70" x14ac:dyDescent="0.25">
      <c r="T167" s="167"/>
      <c r="U167" s="161"/>
      <c r="V167" s="167"/>
      <c r="W167" s="161"/>
      <c r="X167" s="167"/>
      <c r="Y167" s="161"/>
      <c r="Z167" s="167"/>
      <c r="AZ167" s="167"/>
    </row>
    <row r="168" spans="10:70" x14ac:dyDescent="0.25">
      <c r="T168" s="167"/>
      <c r="U168" s="167"/>
      <c r="V168" s="167"/>
      <c r="W168" s="167"/>
      <c r="X168" s="167"/>
      <c r="Y168" s="167"/>
      <c r="Z168" s="167"/>
      <c r="AS168" s="150"/>
      <c r="AT168" s="150"/>
      <c r="AU168" s="150"/>
      <c r="AV168" s="150"/>
      <c r="AW168" s="150"/>
      <c r="AZ168" s="167"/>
    </row>
    <row r="169" spans="10:70" x14ac:dyDescent="0.25">
      <c r="T169" s="167"/>
      <c r="U169" s="161"/>
      <c r="V169" s="167"/>
      <c r="W169" s="161"/>
      <c r="X169" s="167"/>
      <c r="Y169" s="161"/>
      <c r="Z169" s="167"/>
      <c r="AZ169" s="167"/>
    </row>
    <row r="170" spans="10:70" ht="8.1" customHeight="1" x14ac:dyDescent="0.25">
      <c r="S170" s="213"/>
      <c r="T170" s="167"/>
      <c r="U170" s="167"/>
      <c r="V170" s="167"/>
      <c r="W170" s="167"/>
      <c r="X170" s="167"/>
      <c r="Y170" s="167"/>
      <c r="Z170" s="167"/>
      <c r="AS170" s="150"/>
      <c r="AT170" s="150"/>
      <c r="AU170" s="150"/>
      <c r="AV170" s="150"/>
      <c r="AW170" s="150"/>
      <c r="AZ170" s="167"/>
    </row>
    <row r="171" spans="10:70" x14ac:dyDescent="0.25">
      <c r="J171" s="110"/>
      <c r="T171" s="167"/>
      <c r="U171" s="161"/>
      <c r="V171" s="167"/>
      <c r="W171" s="161"/>
      <c r="X171" s="167"/>
      <c r="Y171" s="161"/>
      <c r="Z171" s="167"/>
      <c r="AJ171" s="110"/>
      <c r="AZ171" s="167"/>
      <c r="BJ171" s="110"/>
    </row>
    <row r="172" spans="10:70" ht="8.1" customHeight="1" x14ac:dyDescent="0.25">
      <c r="R172" s="212"/>
      <c r="T172" s="167"/>
      <c r="U172" s="167"/>
      <c r="V172" s="167"/>
      <c r="W172" s="167"/>
      <c r="X172" s="167"/>
      <c r="Y172" s="167"/>
      <c r="Z172" s="167"/>
      <c r="AR172" s="212"/>
      <c r="AS172" s="150"/>
      <c r="AT172" s="150"/>
      <c r="AU172" s="150"/>
      <c r="AV172" s="150"/>
      <c r="AW172" s="150"/>
      <c r="AZ172" s="167"/>
      <c r="BR172" s="212"/>
    </row>
    <row r="173" spans="10:70" x14ac:dyDescent="0.25">
      <c r="J173" s="110"/>
      <c r="T173" s="167"/>
      <c r="U173" s="161"/>
      <c r="V173" s="167"/>
      <c r="W173" s="161"/>
      <c r="X173" s="167"/>
      <c r="Y173" s="161"/>
      <c r="Z173" s="167"/>
      <c r="AJ173" s="110"/>
      <c r="AZ173" s="167"/>
      <c r="BJ173" s="110"/>
    </row>
    <row r="174" spans="10:70" x14ac:dyDescent="0.25">
      <c r="T174" s="167"/>
      <c r="U174" s="167"/>
      <c r="V174" s="167"/>
      <c r="W174" s="167"/>
      <c r="X174" s="167"/>
      <c r="Y174" s="167"/>
      <c r="Z174" s="167"/>
      <c r="AS174" s="150"/>
      <c r="AT174" s="150"/>
      <c r="AU174" s="150"/>
      <c r="AV174" s="150"/>
      <c r="AW174" s="150"/>
      <c r="AZ174" s="167"/>
    </row>
    <row r="175" spans="10:70" x14ac:dyDescent="0.25">
      <c r="T175" s="167"/>
      <c r="U175" s="161"/>
      <c r="V175" s="167"/>
      <c r="W175" s="161"/>
      <c r="X175" s="167"/>
      <c r="Y175" s="161"/>
      <c r="Z175" s="167"/>
      <c r="AZ175" s="167"/>
    </row>
    <row r="176" spans="10:70" ht="8.1" customHeight="1" x14ac:dyDescent="0.25">
      <c r="S176" s="213"/>
      <c r="T176" s="167"/>
      <c r="U176" s="167"/>
      <c r="V176" s="167"/>
      <c r="W176" s="167"/>
      <c r="X176" s="167"/>
      <c r="Y176" s="167"/>
      <c r="Z176" s="167"/>
      <c r="AS176" s="150"/>
      <c r="AT176" s="150"/>
      <c r="AU176" s="150"/>
      <c r="AV176" s="150"/>
      <c r="AW176" s="150"/>
      <c r="AZ176" s="167"/>
    </row>
    <row r="177" spans="1:70" x14ac:dyDescent="0.25">
      <c r="P177" s="194"/>
      <c r="Q177" s="194"/>
      <c r="T177" s="167"/>
      <c r="U177" s="161"/>
      <c r="V177" s="167"/>
      <c r="W177" s="161"/>
      <c r="X177" s="167"/>
      <c r="Y177" s="161"/>
      <c r="Z177" s="167"/>
      <c r="AP177" s="194"/>
      <c r="AQ177" s="194"/>
      <c r="AZ177" s="167"/>
      <c r="BP177" s="194"/>
      <c r="BQ177" s="194"/>
    </row>
    <row r="178" spans="1:70" x14ac:dyDescent="0.25">
      <c r="R178" s="208"/>
      <c r="T178" s="167"/>
      <c r="U178" s="167"/>
      <c r="V178" s="167"/>
      <c r="W178" s="167"/>
      <c r="X178" s="167"/>
      <c r="Y178" s="167"/>
      <c r="Z178" s="167"/>
      <c r="AR178" s="208"/>
      <c r="AS178" s="150"/>
      <c r="AT178" s="150"/>
      <c r="AU178" s="150"/>
      <c r="AV178" s="150"/>
      <c r="AW178" s="150"/>
      <c r="AZ178" s="167"/>
      <c r="BR178" s="208"/>
    </row>
    <row r="179" spans="1:70" x14ac:dyDescent="0.25">
      <c r="O179" s="215"/>
      <c r="T179" s="167"/>
      <c r="U179" s="161"/>
      <c r="V179" s="167"/>
      <c r="W179" s="161"/>
      <c r="X179" s="167"/>
      <c r="Y179" s="161"/>
      <c r="Z179" s="167"/>
      <c r="AO179" s="215"/>
      <c r="AZ179" s="167"/>
      <c r="BO179" s="215"/>
    </row>
    <row r="180" spans="1:70" x14ac:dyDescent="0.25">
      <c r="N180" s="215"/>
      <c r="P180" s="213"/>
      <c r="Q180" s="213"/>
      <c r="R180" s="215"/>
      <c r="T180" s="167"/>
      <c r="U180" s="167"/>
      <c r="V180" s="167"/>
      <c r="W180" s="167"/>
      <c r="X180" s="167"/>
      <c r="Y180" s="167"/>
      <c r="Z180" s="167"/>
      <c r="AN180" s="215"/>
      <c r="AP180" s="213"/>
      <c r="AQ180" s="213"/>
      <c r="AR180" s="215"/>
      <c r="AS180" s="150"/>
      <c r="AT180" s="150"/>
      <c r="AU180" s="150"/>
      <c r="AV180" s="150"/>
      <c r="AW180" s="150"/>
      <c r="AZ180" s="167"/>
      <c r="BN180" s="215"/>
      <c r="BP180" s="213"/>
      <c r="BQ180" s="213"/>
      <c r="BR180" s="215"/>
    </row>
    <row r="181" spans="1:70" x14ac:dyDescent="0.25">
      <c r="M181" s="215"/>
      <c r="O181" s="213"/>
      <c r="T181" s="167"/>
      <c r="U181" s="161"/>
      <c r="V181" s="167"/>
      <c r="W181" s="161"/>
      <c r="X181" s="167"/>
      <c r="Y181" s="161"/>
      <c r="Z181" s="167"/>
      <c r="AM181" s="215"/>
      <c r="AO181" s="213"/>
      <c r="AZ181" s="167"/>
      <c r="BM181" s="215"/>
      <c r="BO181" s="213"/>
    </row>
    <row r="182" spans="1:70" x14ac:dyDescent="0.25">
      <c r="L182" s="215"/>
      <c r="N182" s="212"/>
      <c r="T182" s="167"/>
      <c r="U182" s="167"/>
      <c r="V182" s="167"/>
      <c r="W182" s="167"/>
      <c r="X182" s="167"/>
      <c r="Y182" s="167"/>
      <c r="Z182" s="167"/>
      <c r="AL182" s="215"/>
      <c r="AN182" s="212"/>
      <c r="AS182" s="150"/>
      <c r="AT182" s="150"/>
      <c r="AU182" s="150"/>
      <c r="AV182" s="150"/>
      <c r="AW182" s="150"/>
      <c r="AZ182" s="167"/>
      <c r="BL182" s="215"/>
      <c r="BN182" s="212"/>
    </row>
    <row r="183" spans="1:70" s="212" customFormat="1" x14ac:dyDescent="0.25">
      <c r="A183" s="216"/>
      <c r="C183" s="151"/>
      <c r="D183" s="151"/>
      <c r="E183" s="151"/>
      <c r="F183" s="151"/>
      <c r="G183" s="151"/>
      <c r="H183" s="151"/>
      <c r="I183" s="151"/>
      <c r="J183" s="180"/>
      <c r="K183" s="215"/>
      <c r="L183" s="151"/>
      <c r="N183" s="151"/>
      <c r="P183" s="151"/>
      <c r="Q183" s="151"/>
      <c r="T183" s="167"/>
      <c r="U183" s="161"/>
      <c r="V183" s="167"/>
      <c r="W183" s="161"/>
      <c r="X183" s="167"/>
      <c r="Y183" s="161"/>
      <c r="Z183" s="167"/>
      <c r="AA183" s="216"/>
      <c r="AC183" s="151"/>
      <c r="AD183" s="151"/>
      <c r="AE183" s="151"/>
      <c r="AF183" s="151"/>
      <c r="AG183" s="151"/>
      <c r="AH183" s="151"/>
      <c r="AI183" s="151"/>
      <c r="AJ183" s="180"/>
      <c r="AK183" s="215"/>
      <c r="AL183" s="151"/>
      <c r="AN183" s="151"/>
      <c r="AP183" s="151"/>
      <c r="AQ183" s="151"/>
      <c r="AS183" s="151"/>
      <c r="AT183" s="151"/>
      <c r="AU183" s="151"/>
      <c r="AV183" s="151"/>
      <c r="AW183" s="151"/>
      <c r="AZ183" s="167"/>
      <c r="BA183" s="216"/>
      <c r="BC183" s="151"/>
      <c r="BD183" s="151"/>
      <c r="BE183" s="151"/>
      <c r="BF183" s="151"/>
      <c r="BG183" s="151"/>
      <c r="BH183" s="151"/>
      <c r="BI183" s="151"/>
      <c r="BJ183" s="180"/>
      <c r="BK183" s="215"/>
      <c r="BL183" s="151"/>
      <c r="BN183" s="151"/>
      <c r="BP183" s="151"/>
      <c r="BQ183" s="151"/>
    </row>
    <row r="184" spans="1:70" x14ac:dyDescent="0.25">
      <c r="C184" s="212"/>
      <c r="D184" s="212"/>
      <c r="E184" s="212"/>
      <c r="F184" s="212"/>
      <c r="G184" s="212"/>
      <c r="H184" s="212"/>
      <c r="I184" s="212"/>
      <c r="K184" s="212"/>
      <c r="L184" s="212"/>
      <c r="M184" s="212"/>
      <c r="N184" s="212"/>
      <c r="O184" s="212"/>
      <c r="P184" s="212"/>
      <c r="Q184" s="212"/>
      <c r="T184" s="167"/>
      <c r="U184" s="167"/>
      <c r="V184" s="167"/>
      <c r="W184" s="167"/>
      <c r="X184" s="167"/>
      <c r="Y184" s="167"/>
      <c r="Z184" s="167"/>
      <c r="AC184" s="212"/>
      <c r="AD184" s="212"/>
      <c r="AE184" s="212"/>
      <c r="AF184" s="212"/>
      <c r="AG184" s="212"/>
      <c r="AH184" s="212"/>
      <c r="AI184" s="212"/>
      <c r="AK184" s="212"/>
      <c r="AL184" s="212"/>
      <c r="AM184" s="212"/>
      <c r="AN184" s="212"/>
      <c r="AO184" s="212"/>
      <c r="AP184" s="212"/>
      <c r="AQ184" s="212"/>
      <c r="AS184" s="150"/>
      <c r="AT184" s="150"/>
      <c r="AU184" s="150"/>
      <c r="AV184" s="150"/>
      <c r="AW184" s="150"/>
      <c r="AZ184" s="167"/>
      <c r="BC184" s="212"/>
      <c r="BD184" s="212"/>
      <c r="BE184" s="212"/>
      <c r="BF184" s="212"/>
      <c r="BG184" s="212"/>
      <c r="BH184" s="212"/>
      <c r="BI184" s="212"/>
      <c r="BK184" s="212"/>
      <c r="BL184" s="212"/>
      <c r="BM184" s="212"/>
      <c r="BN184" s="212"/>
      <c r="BO184" s="212"/>
      <c r="BP184" s="212"/>
      <c r="BQ184" s="212"/>
    </row>
    <row r="185" spans="1:70" x14ac:dyDescent="0.25">
      <c r="T185" s="167"/>
      <c r="U185" s="161"/>
      <c r="V185" s="167"/>
      <c r="W185" s="161"/>
      <c r="X185" s="167"/>
      <c r="Y185" s="161"/>
      <c r="Z185" s="167"/>
      <c r="AZ185" s="167"/>
    </row>
    <row r="186" spans="1:70" x14ac:dyDescent="0.25">
      <c r="T186" s="167"/>
      <c r="U186" s="167"/>
      <c r="V186" s="167"/>
      <c r="W186" s="167"/>
      <c r="X186" s="167"/>
      <c r="Y186" s="167"/>
      <c r="Z186" s="167"/>
      <c r="AS186" s="150"/>
      <c r="AT186" s="150"/>
      <c r="AU186" s="150"/>
      <c r="AV186" s="150"/>
      <c r="AW186" s="150"/>
      <c r="AZ186" s="167"/>
    </row>
    <row r="187" spans="1:70" x14ac:dyDescent="0.25">
      <c r="T187" s="167"/>
      <c r="U187" s="161"/>
      <c r="V187" s="167"/>
      <c r="W187" s="161"/>
      <c r="X187" s="167"/>
      <c r="Y187" s="161"/>
      <c r="Z187" s="167"/>
      <c r="AZ187" s="167"/>
    </row>
    <row r="188" spans="1:70" s="213" customFormat="1" x14ac:dyDescent="0.25">
      <c r="A188" s="217"/>
      <c r="C188" s="151"/>
      <c r="D188" s="151"/>
      <c r="E188" s="151"/>
      <c r="F188" s="151"/>
      <c r="G188" s="151"/>
      <c r="H188" s="151"/>
      <c r="I188" s="151"/>
      <c r="J188" s="180"/>
      <c r="K188" s="151"/>
      <c r="L188" s="151"/>
      <c r="M188" s="151"/>
      <c r="N188" s="151"/>
      <c r="O188" s="151"/>
      <c r="P188" s="151"/>
      <c r="Q188" s="151"/>
      <c r="T188" s="167"/>
      <c r="U188" s="167"/>
      <c r="V188" s="167"/>
      <c r="W188" s="167"/>
      <c r="X188" s="167"/>
      <c r="Y188" s="167"/>
      <c r="Z188" s="167"/>
      <c r="AA188" s="217"/>
      <c r="AC188" s="151"/>
      <c r="AD188" s="151"/>
      <c r="AE188" s="151"/>
      <c r="AF188" s="151"/>
      <c r="AG188" s="151"/>
      <c r="AH188" s="151"/>
      <c r="AI188" s="151"/>
      <c r="AJ188" s="180"/>
      <c r="AK188" s="151"/>
      <c r="AL188" s="151"/>
      <c r="AM188" s="151"/>
      <c r="AN188" s="151"/>
      <c r="AO188" s="151"/>
      <c r="AP188" s="151"/>
      <c r="AQ188" s="151"/>
      <c r="AS188" s="150"/>
      <c r="AT188" s="150"/>
      <c r="AU188" s="150"/>
      <c r="AV188" s="150"/>
      <c r="AW188" s="150"/>
      <c r="AZ188" s="167"/>
      <c r="BA188" s="217"/>
      <c r="BC188" s="151"/>
      <c r="BD188" s="151"/>
      <c r="BE188" s="151"/>
      <c r="BF188" s="151"/>
      <c r="BG188" s="151"/>
      <c r="BH188" s="151"/>
      <c r="BI188" s="151"/>
      <c r="BJ188" s="180"/>
      <c r="BK188" s="151"/>
      <c r="BL188" s="151"/>
      <c r="BM188" s="151"/>
      <c r="BN188" s="151"/>
      <c r="BO188" s="151"/>
      <c r="BP188" s="151"/>
      <c r="BQ188" s="151"/>
    </row>
    <row r="189" spans="1:70" x14ac:dyDescent="0.25">
      <c r="C189" s="213"/>
      <c r="D189" s="213"/>
      <c r="E189" s="213"/>
      <c r="F189" s="213"/>
      <c r="G189" s="213"/>
      <c r="H189" s="213"/>
      <c r="I189" s="213"/>
      <c r="K189" s="213"/>
      <c r="L189" s="213"/>
      <c r="M189" s="213"/>
      <c r="N189" s="213"/>
      <c r="O189" s="213"/>
      <c r="P189" s="213"/>
      <c r="Q189" s="213"/>
      <c r="T189" s="167"/>
      <c r="U189" s="161"/>
      <c r="V189" s="167"/>
      <c r="W189" s="161"/>
      <c r="X189" s="167"/>
      <c r="Y189" s="161"/>
      <c r="Z189" s="167"/>
      <c r="AC189" s="213"/>
      <c r="AD189" s="213"/>
      <c r="AE189" s="213"/>
      <c r="AF189" s="213"/>
      <c r="AG189" s="213"/>
      <c r="AH189" s="213"/>
      <c r="AI189" s="213"/>
      <c r="AK189" s="213"/>
      <c r="AL189" s="213"/>
      <c r="AM189" s="213"/>
      <c r="AN189" s="213"/>
      <c r="AO189" s="213"/>
      <c r="AP189" s="213"/>
      <c r="AQ189" s="213"/>
      <c r="AZ189" s="167"/>
      <c r="BC189" s="213"/>
      <c r="BD189" s="213"/>
      <c r="BE189" s="213"/>
      <c r="BF189" s="213"/>
      <c r="BG189" s="213"/>
      <c r="BH189" s="213"/>
      <c r="BI189" s="213"/>
      <c r="BK189" s="213"/>
      <c r="BL189" s="213"/>
      <c r="BM189" s="213"/>
      <c r="BN189" s="213"/>
      <c r="BO189" s="213"/>
      <c r="BP189" s="213"/>
      <c r="BQ189" s="213"/>
    </row>
    <row r="190" spans="1:70" x14ac:dyDescent="0.25">
      <c r="T190" s="167"/>
      <c r="U190" s="167"/>
      <c r="V190" s="167"/>
      <c r="W190" s="167"/>
      <c r="X190" s="167"/>
      <c r="Y190" s="167"/>
      <c r="Z190" s="167"/>
      <c r="AS190" s="150"/>
      <c r="AT190" s="150"/>
      <c r="AU190" s="150"/>
      <c r="AV190" s="150"/>
      <c r="AW190" s="150"/>
      <c r="AZ190" s="167"/>
    </row>
    <row r="191" spans="1:70" x14ac:dyDescent="0.25">
      <c r="T191" s="167"/>
      <c r="U191" s="161"/>
      <c r="V191" s="167"/>
      <c r="W191" s="161"/>
      <c r="X191" s="167"/>
      <c r="Y191" s="161"/>
      <c r="Z191" s="167"/>
      <c r="AZ191" s="167"/>
    </row>
    <row r="192" spans="1:70" x14ac:dyDescent="0.25">
      <c r="T192" s="167"/>
      <c r="U192" s="167"/>
      <c r="V192" s="167"/>
      <c r="W192" s="167"/>
      <c r="X192" s="167"/>
      <c r="Y192" s="167"/>
      <c r="Z192" s="167"/>
      <c r="AS192" s="150"/>
      <c r="AT192" s="150"/>
      <c r="AU192" s="150"/>
      <c r="AV192" s="150"/>
      <c r="AW192" s="150"/>
      <c r="AZ192" s="167"/>
    </row>
    <row r="193" spans="20:52" x14ac:dyDescent="0.25">
      <c r="T193" s="167"/>
      <c r="U193" s="161"/>
      <c r="V193" s="167"/>
      <c r="W193" s="161"/>
      <c r="X193" s="167"/>
      <c r="Y193" s="161"/>
      <c r="Z193" s="167"/>
      <c r="AZ193" s="167"/>
    </row>
    <row r="194" spans="20:52" x14ac:dyDescent="0.25">
      <c r="T194" s="167"/>
      <c r="U194" s="167"/>
      <c r="V194" s="167"/>
      <c r="W194" s="167"/>
      <c r="X194" s="167"/>
      <c r="Y194" s="167"/>
      <c r="Z194" s="167"/>
      <c r="AS194" s="150"/>
      <c r="AT194" s="150"/>
      <c r="AU194" s="150"/>
      <c r="AV194" s="150"/>
      <c r="AW194" s="150"/>
      <c r="AZ194" s="167"/>
    </row>
    <row r="195" spans="20:52" x14ac:dyDescent="0.25">
      <c r="T195" s="167"/>
      <c r="U195" s="161"/>
      <c r="V195" s="167"/>
      <c r="W195" s="161"/>
      <c r="X195" s="167"/>
      <c r="Y195" s="161"/>
      <c r="Z195" s="167"/>
      <c r="AZ195" s="167"/>
    </row>
    <row r="196" spans="20:52" x14ac:dyDescent="0.25">
      <c r="T196" s="167"/>
      <c r="U196" s="167"/>
      <c r="V196" s="167"/>
      <c r="W196" s="167"/>
      <c r="X196" s="167"/>
      <c r="Y196" s="167"/>
      <c r="Z196" s="167"/>
      <c r="AS196" s="150"/>
      <c r="AT196" s="150"/>
      <c r="AU196" s="150"/>
      <c r="AV196" s="150"/>
      <c r="AW196" s="150"/>
      <c r="AZ196" s="167"/>
    </row>
    <row r="197" spans="20:52" x14ac:dyDescent="0.25">
      <c r="T197" s="167"/>
      <c r="U197" s="161"/>
      <c r="V197" s="167"/>
      <c r="W197" s="161"/>
      <c r="X197" s="167"/>
      <c r="Y197" s="161"/>
      <c r="Z197" s="167"/>
      <c r="AZ197" s="167"/>
    </row>
    <row r="198" spans="20:52" x14ac:dyDescent="0.25">
      <c r="T198" s="167"/>
      <c r="U198" s="167"/>
      <c r="V198" s="167"/>
      <c r="W198" s="167"/>
      <c r="X198" s="167"/>
      <c r="Y198" s="167"/>
      <c r="Z198" s="167"/>
      <c r="AS198" s="150"/>
      <c r="AT198" s="150"/>
      <c r="AU198" s="150"/>
      <c r="AV198" s="150"/>
      <c r="AW198" s="150"/>
      <c r="AZ198" s="167"/>
    </row>
    <row r="199" spans="20:52" x14ac:dyDescent="0.25">
      <c r="T199" s="167"/>
      <c r="U199" s="161"/>
      <c r="V199" s="167"/>
      <c r="W199" s="161"/>
      <c r="X199" s="167"/>
      <c r="Y199" s="161"/>
      <c r="Z199" s="167"/>
      <c r="AZ199" s="167"/>
    </row>
    <row r="200" spans="20:52" x14ac:dyDescent="0.25">
      <c r="T200" s="167"/>
      <c r="U200" s="167"/>
      <c r="V200" s="167"/>
      <c r="W200" s="167"/>
      <c r="X200" s="167"/>
      <c r="Y200" s="167"/>
      <c r="Z200" s="167"/>
      <c r="AS200" s="150"/>
      <c r="AT200" s="150"/>
      <c r="AU200" s="150"/>
      <c r="AV200" s="150"/>
      <c r="AW200" s="150"/>
      <c r="AZ200" s="167"/>
    </row>
    <row r="201" spans="20:52" x14ac:dyDescent="0.25">
      <c r="T201" s="167"/>
      <c r="U201" s="161"/>
      <c r="V201" s="167"/>
      <c r="W201" s="161"/>
      <c r="X201" s="167"/>
      <c r="Y201" s="161"/>
      <c r="Z201" s="167"/>
      <c r="AZ201" s="167"/>
    </row>
    <row r="202" spans="20:52" x14ac:dyDescent="0.25">
      <c r="T202" s="167"/>
      <c r="U202" s="167"/>
      <c r="V202" s="167"/>
      <c r="W202" s="167"/>
      <c r="X202" s="167"/>
      <c r="Y202" s="167"/>
      <c r="Z202" s="167"/>
      <c r="AS202" s="150"/>
      <c r="AT202" s="150"/>
      <c r="AU202" s="150"/>
      <c r="AV202" s="150"/>
      <c r="AW202" s="150"/>
      <c r="AZ202" s="167"/>
    </row>
    <row r="203" spans="20:52" x14ac:dyDescent="0.25">
      <c r="T203" s="167"/>
      <c r="U203" s="161"/>
      <c r="V203" s="167"/>
      <c r="W203" s="161"/>
      <c r="X203" s="167"/>
      <c r="Y203" s="161"/>
      <c r="Z203" s="167"/>
      <c r="AZ203" s="167"/>
    </row>
    <row r="204" spans="20:52" x14ac:dyDescent="0.25">
      <c r="T204" s="167"/>
      <c r="U204" s="167"/>
      <c r="V204" s="167"/>
      <c r="W204" s="167"/>
      <c r="X204" s="167"/>
      <c r="Y204" s="167"/>
      <c r="Z204" s="167"/>
      <c r="AS204" s="150"/>
      <c r="AT204" s="150"/>
      <c r="AU204" s="150"/>
      <c r="AV204" s="150"/>
      <c r="AW204" s="150"/>
      <c r="AZ204" s="167"/>
    </row>
    <row r="205" spans="20:52" x14ac:dyDescent="0.25">
      <c r="T205" s="167"/>
      <c r="U205" s="161"/>
      <c r="V205" s="167"/>
      <c r="W205" s="161"/>
      <c r="X205" s="167"/>
      <c r="Y205" s="161"/>
      <c r="Z205" s="167"/>
      <c r="AZ205" s="167"/>
    </row>
    <row r="206" spans="20:52" x14ac:dyDescent="0.25">
      <c r="T206" s="167"/>
      <c r="U206" s="167"/>
      <c r="V206" s="167"/>
      <c r="W206" s="167"/>
      <c r="X206" s="167"/>
      <c r="Y206" s="167"/>
      <c r="Z206" s="167"/>
      <c r="AS206" s="150"/>
      <c r="AT206" s="150"/>
      <c r="AU206" s="150"/>
      <c r="AV206" s="150"/>
      <c r="AW206" s="150"/>
      <c r="AZ206" s="167"/>
    </row>
    <row r="207" spans="20:52" x14ac:dyDescent="0.25">
      <c r="T207" s="167"/>
      <c r="U207" s="161"/>
      <c r="V207" s="167"/>
      <c r="W207" s="161"/>
      <c r="X207" s="167"/>
      <c r="Y207" s="161"/>
      <c r="Z207" s="167"/>
      <c r="AZ207" s="167"/>
    </row>
    <row r="208" spans="20:52" x14ac:dyDescent="0.25">
      <c r="T208" s="167"/>
      <c r="U208" s="167"/>
      <c r="V208" s="167"/>
      <c r="W208" s="167"/>
      <c r="X208" s="167"/>
      <c r="Y208" s="167"/>
      <c r="Z208" s="167"/>
      <c r="AS208" s="150"/>
      <c r="AT208" s="150"/>
      <c r="AU208" s="150"/>
      <c r="AV208" s="150"/>
      <c r="AW208" s="150"/>
      <c r="AZ208" s="167"/>
    </row>
    <row r="209" spans="1:69" x14ac:dyDescent="0.25">
      <c r="T209" s="167"/>
      <c r="U209" s="161"/>
      <c r="V209" s="167"/>
      <c r="W209" s="161"/>
      <c r="X209" s="167"/>
      <c r="Y209" s="161"/>
      <c r="Z209" s="167"/>
      <c r="AZ209" s="167"/>
    </row>
    <row r="210" spans="1:69" x14ac:dyDescent="0.25">
      <c r="T210" s="167"/>
      <c r="U210" s="167"/>
      <c r="V210" s="167"/>
      <c r="W210" s="167"/>
      <c r="X210" s="167"/>
      <c r="Y210" s="167"/>
      <c r="Z210" s="167"/>
      <c r="AS210" s="150"/>
      <c r="AT210" s="150"/>
      <c r="AU210" s="150"/>
      <c r="AV210" s="150"/>
      <c r="AW210" s="150"/>
      <c r="AZ210" s="167"/>
    </row>
    <row r="211" spans="1:69" x14ac:dyDescent="0.25">
      <c r="T211" s="167"/>
      <c r="U211" s="161"/>
      <c r="V211" s="167"/>
      <c r="W211" s="161"/>
      <c r="X211" s="167"/>
      <c r="Y211" s="161"/>
      <c r="Z211" s="167"/>
      <c r="AZ211" s="167"/>
    </row>
    <row r="212" spans="1:69" x14ac:dyDescent="0.25">
      <c r="T212" s="167"/>
      <c r="U212" s="167"/>
      <c r="V212" s="167"/>
      <c r="W212" s="167"/>
      <c r="X212" s="167"/>
      <c r="Y212" s="167"/>
      <c r="Z212" s="167"/>
      <c r="AS212" s="150"/>
      <c r="AT212" s="150"/>
      <c r="AU212" s="150"/>
      <c r="AV212" s="150"/>
      <c r="AW212" s="150"/>
      <c r="AZ212" s="167"/>
    </row>
    <row r="213" spans="1:69" x14ac:dyDescent="0.25">
      <c r="T213" s="167"/>
      <c r="U213" s="161"/>
      <c r="V213" s="167"/>
      <c r="W213" s="161"/>
      <c r="X213" s="167"/>
      <c r="Y213" s="161"/>
      <c r="Z213" s="167"/>
      <c r="AZ213" s="167"/>
    </row>
    <row r="214" spans="1:69" x14ac:dyDescent="0.25">
      <c r="T214" s="167"/>
      <c r="U214" s="167"/>
      <c r="V214" s="167"/>
      <c r="W214" s="167"/>
      <c r="X214" s="167"/>
      <c r="Y214" s="167"/>
      <c r="Z214" s="167"/>
      <c r="AZ214" s="167"/>
    </row>
    <row r="215" spans="1:69" x14ac:dyDescent="0.25">
      <c r="T215" s="167"/>
      <c r="U215" s="161"/>
      <c r="V215" s="167"/>
      <c r="W215" s="161"/>
      <c r="X215" s="167"/>
      <c r="Y215" s="161"/>
      <c r="Z215" s="167"/>
      <c r="AZ215" s="167"/>
    </row>
    <row r="216" spans="1:69" x14ac:dyDescent="0.25">
      <c r="T216" s="167"/>
      <c r="U216" s="167"/>
      <c r="V216" s="167"/>
      <c r="W216" s="167"/>
      <c r="X216" s="167"/>
      <c r="Y216" s="167"/>
      <c r="Z216" s="167"/>
      <c r="AZ216" s="167"/>
    </row>
    <row r="217" spans="1:69" x14ac:dyDescent="0.25">
      <c r="T217" s="167"/>
      <c r="U217" s="161"/>
      <c r="V217" s="167"/>
      <c r="W217" s="161"/>
      <c r="X217" s="167"/>
      <c r="Y217" s="161"/>
      <c r="Z217" s="167"/>
      <c r="AZ217" s="167"/>
    </row>
    <row r="218" spans="1:69" x14ac:dyDescent="0.25">
      <c r="T218" s="167"/>
      <c r="U218" s="167"/>
      <c r="V218" s="167"/>
      <c r="W218" s="167"/>
      <c r="X218" s="167"/>
      <c r="Y218" s="167"/>
      <c r="Z218" s="167"/>
      <c r="AZ218" s="167"/>
    </row>
    <row r="219" spans="1:69" x14ac:dyDescent="0.25">
      <c r="T219" s="167"/>
      <c r="U219" s="161"/>
      <c r="V219" s="167"/>
      <c r="W219" s="161"/>
      <c r="X219" s="167"/>
      <c r="Y219" s="161"/>
      <c r="Z219" s="167"/>
      <c r="AZ219" s="167"/>
    </row>
    <row r="222" spans="1:69" s="150" customFormat="1" x14ac:dyDescent="0.25">
      <c r="A222" s="149"/>
      <c r="C222" s="151"/>
      <c r="D222" s="151"/>
      <c r="E222" s="151"/>
      <c r="F222" s="151"/>
      <c r="G222" s="151"/>
      <c r="H222" s="151"/>
      <c r="I222" s="151"/>
      <c r="J222" s="180"/>
      <c r="K222" s="151"/>
      <c r="L222" s="151"/>
      <c r="M222" s="151"/>
      <c r="N222" s="151"/>
      <c r="O222" s="151"/>
      <c r="P222" s="151"/>
      <c r="Q222" s="151"/>
      <c r="AA222" s="149"/>
      <c r="AC222" s="151"/>
      <c r="AD222" s="151"/>
      <c r="AE222" s="151"/>
      <c r="AF222" s="151"/>
      <c r="AG222" s="151"/>
      <c r="AH222" s="151"/>
      <c r="AI222" s="151"/>
      <c r="AJ222" s="180"/>
      <c r="AK222" s="151"/>
      <c r="AL222" s="151"/>
      <c r="AM222" s="151"/>
      <c r="AN222" s="151"/>
      <c r="AO222" s="151"/>
      <c r="AP222" s="151"/>
      <c r="AQ222" s="151"/>
      <c r="BA222" s="149"/>
      <c r="BC222" s="151"/>
      <c r="BD222" s="151"/>
      <c r="BE222" s="151"/>
      <c r="BF222" s="151"/>
      <c r="BG222" s="151"/>
      <c r="BH222" s="151"/>
      <c r="BI222" s="151"/>
      <c r="BJ222" s="180"/>
      <c r="BK222" s="151"/>
      <c r="BL222" s="151"/>
      <c r="BM222" s="151"/>
      <c r="BN222" s="151"/>
      <c r="BO222" s="151"/>
      <c r="BP222" s="151"/>
      <c r="BQ222" s="151"/>
    </row>
    <row r="223" spans="1:69" x14ac:dyDescent="0.25">
      <c r="C223" s="150"/>
      <c r="D223" s="150"/>
      <c r="E223" s="150"/>
      <c r="F223" s="150"/>
      <c r="G223" s="150"/>
      <c r="H223" s="150"/>
      <c r="I223" s="150"/>
      <c r="J223" s="187"/>
      <c r="K223" s="150"/>
      <c r="L223" s="150"/>
      <c r="M223" s="150"/>
      <c r="N223" s="150"/>
      <c r="O223" s="150"/>
      <c r="P223" s="150"/>
      <c r="Q223" s="150"/>
      <c r="AC223" s="150"/>
      <c r="AD223" s="150"/>
      <c r="AE223" s="150"/>
      <c r="AF223" s="150"/>
      <c r="AG223" s="150"/>
      <c r="AH223" s="150"/>
      <c r="AI223" s="150"/>
      <c r="AJ223" s="187"/>
      <c r="AK223" s="150"/>
      <c r="AL223" s="150"/>
      <c r="AM223" s="150"/>
      <c r="AN223" s="150"/>
      <c r="AO223" s="150"/>
      <c r="AP223" s="150"/>
      <c r="AQ223" s="150"/>
      <c r="BC223" s="150"/>
      <c r="BD223" s="150"/>
      <c r="BE223" s="150"/>
      <c r="BF223" s="150"/>
      <c r="BG223" s="150"/>
      <c r="BH223" s="150"/>
      <c r="BI223" s="150"/>
      <c r="BJ223" s="187"/>
      <c r="BK223" s="150"/>
      <c r="BL223" s="150"/>
      <c r="BM223" s="150"/>
      <c r="BN223" s="150"/>
      <c r="BO223" s="150"/>
      <c r="BP223" s="150"/>
      <c r="BQ223" s="150"/>
    </row>
    <row r="228" spans="1:69" s="150" customFormat="1" x14ac:dyDescent="0.25">
      <c r="A228" s="149"/>
      <c r="C228" s="151"/>
      <c r="D228" s="151"/>
      <c r="E228" s="151"/>
      <c r="F228" s="151"/>
      <c r="G228" s="151"/>
      <c r="H228" s="151"/>
      <c r="I228" s="151"/>
      <c r="J228" s="180"/>
      <c r="K228" s="151"/>
      <c r="L228" s="151"/>
      <c r="M228" s="151"/>
      <c r="N228" s="151"/>
      <c r="O228" s="151"/>
      <c r="P228" s="151"/>
      <c r="Q228" s="151"/>
      <c r="AA228" s="149"/>
      <c r="AC228" s="151"/>
      <c r="AD228" s="151"/>
      <c r="AE228" s="151"/>
      <c r="AF228" s="151"/>
      <c r="AG228" s="151"/>
      <c r="AH228" s="151"/>
      <c r="AI228" s="151"/>
      <c r="AJ228" s="180"/>
      <c r="AK228" s="151"/>
      <c r="AL228" s="151"/>
      <c r="AM228" s="151"/>
      <c r="AN228" s="151"/>
      <c r="AO228" s="151"/>
      <c r="AP228" s="151"/>
      <c r="AQ228" s="151"/>
      <c r="BA228" s="149"/>
      <c r="BC228" s="151"/>
      <c r="BD228" s="151"/>
      <c r="BE228" s="151"/>
      <c r="BF228" s="151"/>
      <c r="BG228" s="151"/>
      <c r="BH228" s="151"/>
      <c r="BI228" s="151"/>
      <c r="BJ228" s="180"/>
      <c r="BK228" s="151"/>
      <c r="BL228" s="151"/>
      <c r="BM228" s="151"/>
      <c r="BN228" s="151"/>
      <c r="BO228" s="151"/>
      <c r="BP228" s="151"/>
      <c r="BQ228" s="151"/>
    </row>
    <row r="229" spans="1:69" x14ac:dyDescent="0.25">
      <c r="C229" s="150"/>
      <c r="D229" s="150"/>
      <c r="E229" s="150"/>
      <c r="F229" s="150"/>
      <c r="G229" s="150"/>
      <c r="H229" s="150"/>
      <c r="I229" s="150"/>
      <c r="J229" s="187"/>
      <c r="K229" s="150"/>
      <c r="L229" s="150"/>
      <c r="M229" s="150"/>
      <c r="N229" s="150"/>
      <c r="O229" s="150"/>
      <c r="P229" s="150"/>
      <c r="Q229" s="150"/>
      <c r="AC229" s="150"/>
      <c r="AD229" s="150"/>
      <c r="AE229" s="150"/>
      <c r="AF229" s="150"/>
      <c r="AG229" s="150"/>
      <c r="AH229" s="150"/>
      <c r="AI229" s="150"/>
      <c r="AJ229" s="187"/>
      <c r="AK229" s="150"/>
      <c r="AL229" s="150"/>
      <c r="AM229" s="150"/>
      <c r="AN229" s="150"/>
      <c r="AO229" s="150"/>
      <c r="AP229" s="150"/>
      <c r="AQ229" s="150"/>
      <c r="BC229" s="150"/>
      <c r="BD229" s="150"/>
      <c r="BE229" s="150"/>
      <c r="BF229" s="150"/>
      <c r="BG229" s="150"/>
      <c r="BH229" s="150"/>
      <c r="BI229" s="150"/>
      <c r="BJ229" s="187"/>
      <c r="BK229" s="150"/>
      <c r="BL229" s="150"/>
      <c r="BM229" s="150"/>
      <c r="BN229" s="150"/>
      <c r="BO229" s="150"/>
      <c r="BP229" s="150"/>
      <c r="BQ229" s="150"/>
    </row>
  </sheetData>
  <pageMargins left="0.3" right="0.3" top="0.25" bottom="0.25" header="0.05" footer="0.05"/>
  <pageSetup paperSize="5" scale="80" orientation="landscape" r:id="rId1"/>
  <headerFooter>
    <oddHeader>&amp;RDEF’s Response to OPC POD 1 (1-26)
Q7
Page &amp;P of &amp;N</oddHeader>
    <oddFooter xml:space="preserve">&amp;R&amp;9&amp;Z&amp;F "&amp;A" &amp;D &amp;[Time
20240025-OPCPOD1-00004288
</odd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FC0B-0D63-4E80-B078-E04A60430A30}">
  <dimension ref="A1:BX300"/>
  <sheetViews>
    <sheetView tabSelected="1" zoomScale="70" zoomScaleNormal="70" workbookViewId="0">
      <selection activeCell="G65" sqref="G65"/>
    </sheetView>
  </sheetViews>
  <sheetFormatPr defaultColWidth="8.81640625" defaultRowHeight="13.8" x14ac:dyDescent="0.25"/>
  <cols>
    <col min="1" max="1" width="6.81640625" style="151" customWidth="1"/>
    <col min="2" max="2" width="3.81640625" style="151" customWidth="1"/>
    <col min="3" max="3" width="5.08984375" style="151" customWidth="1"/>
    <col min="4" max="4" width="19.08984375" style="151" bestFit="1" customWidth="1"/>
    <col min="5" max="6" width="0.81640625" style="151" customWidth="1"/>
    <col min="7" max="7" width="12.6328125" style="151" customWidth="1"/>
    <col min="8" max="8" width="8.1796875" style="151" customWidth="1"/>
    <col min="9" max="9" width="9.81640625" style="180" bestFit="1" customWidth="1"/>
    <col min="10" max="10" width="12.81640625" style="151" bestFit="1" customWidth="1"/>
    <col min="11" max="11" width="12" style="151" customWidth="1"/>
    <col min="12" max="12" width="10.6328125" style="151" bestFit="1" customWidth="1"/>
    <col min="13" max="13" width="10.1796875" style="151" customWidth="1"/>
    <col min="14" max="14" width="4.81640625" style="151" customWidth="1"/>
    <col min="15" max="15" width="4.08984375" style="151" customWidth="1"/>
    <col min="16" max="16" width="3.08984375" style="151" customWidth="1"/>
    <col min="17" max="17" width="1.81640625" style="151" customWidth="1"/>
    <col min="18" max="18" width="16.08984375" style="151" bestFit="1" customWidth="1"/>
    <col min="19" max="20" width="9.08984375" style="151" bestFit="1" customWidth="1"/>
    <col min="21" max="21" width="1.08984375" style="151" customWidth="1"/>
    <col min="22" max="25" width="0.81640625" style="151" customWidth="1"/>
    <col min="26" max="26" width="2.54296875" style="151" customWidth="1"/>
    <col min="27" max="27" width="6.81640625" style="151" customWidth="1"/>
    <col min="28" max="28" width="3.81640625" style="151" customWidth="1"/>
    <col min="29" max="29" width="5.08984375" style="151" customWidth="1"/>
    <col min="30" max="30" width="19.08984375" style="151" bestFit="1" customWidth="1"/>
    <col min="31" max="32" width="0.81640625" style="151" customWidth="1"/>
    <col min="33" max="33" width="12.6328125" style="151" customWidth="1"/>
    <col min="34" max="34" width="8.1796875" style="151" customWidth="1"/>
    <col min="35" max="35" width="9.81640625" style="180" bestFit="1" customWidth="1"/>
    <col min="36" max="36" width="12.81640625" style="151" bestFit="1" customWidth="1"/>
    <col min="37" max="37" width="12" style="151" customWidth="1"/>
    <col min="38" max="38" width="10.6328125" style="151" bestFit="1" customWidth="1"/>
    <col min="39" max="39" width="10.1796875" style="151" customWidth="1"/>
    <col min="40" max="40" width="4.81640625" style="151" customWidth="1"/>
    <col min="41" max="41" width="4.08984375" style="151" customWidth="1"/>
    <col min="42" max="42" width="6.453125" style="151" customWidth="1"/>
    <col min="43" max="43" width="1.81640625" style="151" customWidth="1"/>
    <col min="44" max="44" width="16.08984375" style="151" bestFit="1" customWidth="1"/>
    <col min="45" max="46" width="9.08984375" style="151" bestFit="1" customWidth="1"/>
    <col min="47" max="51" width="0.81640625" style="151" customWidth="1"/>
    <col min="52" max="52" width="2.54296875" style="151" customWidth="1"/>
    <col min="53" max="53" width="6.81640625" style="151" customWidth="1"/>
    <col min="54" max="54" width="3.81640625" style="151" customWidth="1"/>
    <col min="55" max="55" width="5.08984375" style="151" customWidth="1"/>
    <col min="56" max="56" width="19.08984375" style="151" bestFit="1" customWidth="1"/>
    <col min="57" max="58" width="0.81640625" style="151" customWidth="1"/>
    <col min="59" max="59" width="12.6328125" style="151" customWidth="1"/>
    <col min="60" max="60" width="8.1796875" style="151" customWidth="1"/>
    <col min="61" max="61" width="9.81640625" style="180" bestFit="1" customWidth="1"/>
    <col min="62" max="62" width="12.81640625" style="151" bestFit="1" customWidth="1"/>
    <col min="63" max="63" width="12" style="151" customWidth="1"/>
    <col min="64" max="64" width="10.6328125" style="151" bestFit="1" customWidth="1"/>
    <col min="65" max="65" width="10.1796875" style="151" customWidth="1"/>
    <col min="66" max="66" width="4.81640625" style="151" customWidth="1"/>
    <col min="67" max="67" width="4.08984375" style="151" customWidth="1"/>
    <col min="68" max="68" width="5.54296875" style="151" customWidth="1"/>
    <col min="69" max="69" width="1.81640625" style="151" customWidth="1"/>
    <col min="70" max="70" width="16.08984375" style="151" bestFit="1" customWidth="1"/>
    <col min="71" max="72" width="9.08984375" style="151" bestFit="1" customWidth="1"/>
    <col min="73" max="73" width="1.08984375" style="151" customWidth="1"/>
    <col min="74" max="76" width="0.81640625" style="151" customWidth="1"/>
    <col min="77" max="77" width="1.08984375" style="151" customWidth="1"/>
    <col min="78" max="16384" width="8.81640625" style="151"/>
  </cols>
  <sheetData>
    <row r="1" spans="1:72" x14ac:dyDescent="0.25">
      <c r="A1" s="218" t="s">
        <v>202</v>
      </c>
      <c r="AA1" s="218"/>
      <c r="BA1" s="218"/>
    </row>
    <row r="2" spans="1:72" s="29" customFormat="1" x14ac:dyDescent="0.3">
      <c r="A2" s="27">
        <f>YEAR('Procedures &amp; Inputs'!$F$22)</f>
        <v>2027</v>
      </c>
      <c r="B2" s="27"/>
      <c r="C2" s="27"/>
      <c r="D2" s="27"/>
      <c r="E2" s="27"/>
      <c r="F2" s="27"/>
      <c r="G2" s="27"/>
      <c r="H2" s="27"/>
      <c r="I2" s="27"/>
      <c r="J2" s="27"/>
      <c r="K2" s="27"/>
      <c r="L2" s="27"/>
      <c r="M2" s="27"/>
      <c r="N2" s="27"/>
      <c r="O2" s="27"/>
      <c r="P2" s="27"/>
      <c r="Q2" s="31"/>
      <c r="R2" s="31"/>
      <c r="Z2" s="28"/>
      <c r="AA2" s="27">
        <f>YEAR('Procedures &amp; Inputs'!$F$21)</f>
        <v>2026</v>
      </c>
      <c r="AB2" s="27"/>
      <c r="AC2" s="27"/>
      <c r="AD2" s="27"/>
      <c r="AE2" s="27"/>
      <c r="AF2" s="27"/>
      <c r="AG2" s="27"/>
      <c r="AH2" s="27"/>
      <c r="AI2" s="27"/>
      <c r="AJ2" s="27"/>
      <c r="AK2" s="27"/>
      <c r="AL2" s="27"/>
      <c r="AM2" s="27"/>
      <c r="AN2" s="27"/>
      <c r="AO2" s="27"/>
      <c r="AP2" s="27"/>
      <c r="AQ2" s="31"/>
      <c r="AR2" s="31"/>
      <c r="AZ2" s="28"/>
      <c r="BA2" s="27">
        <f>YEAR('Procedures &amp; Inputs'!$F$20)</f>
        <v>2025</v>
      </c>
      <c r="BB2" s="27"/>
      <c r="BC2" s="27"/>
      <c r="BD2" s="27"/>
      <c r="BE2" s="27"/>
      <c r="BF2" s="27"/>
      <c r="BG2" s="27"/>
      <c r="BH2" s="27"/>
      <c r="BI2" s="27"/>
      <c r="BJ2" s="27"/>
      <c r="BK2" s="27"/>
      <c r="BL2" s="27"/>
      <c r="BM2" s="27"/>
      <c r="BN2" s="27"/>
      <c r="BO2" s="27"/>
      <c r="BP2" s="27"/>
      <c r="BQ2" s="31"/>
      <c r="BR2" s="31"/>
    </row>
    <row r="3" spans="1:72" s="3" customFormat="1" x14ac:dyDescent="0.3">
      <c r="A3" s="1" t="s">
        <v>0</v>
      </c>
      <c r="B3" s="1"/>
      <c r="C3" s="2"/>
      <c r="G3" s="2" t="s">
        <v>1</v>
      </c>
      <c r="J3" s="5"/>
      <c r="K3" s="5"/>
      <c r="L3" s="5"/>
      <c r="M3" s="144" t="str">
        <f>RIGHT('E-6a (1)'!$E$31,13)</f>
        <v>Page 11 of 13</v>
      </c>
      <c r="O3" s="1"/>
      <c r="Q3" s="6"/>
      <c r="Z3" s="32"/>
      <c r="AA3" s="1" t="s">
        <v>0</v>
      </c>
      <c r="AB3" s="1"/>
      <c r="AC3" s="2"/>
      <c r="AG3" s="2" t="s">
        <v>1</v>
      </c>
      <c r="AJ3" s="5"/>
      <c r="AK3" s="5"/>
      <c r="AL3" s="5"/>
      <c r="AM3" s="144" t="str">
        <f>RIGHT('E-6a (1)'!$E$32,13)</f>
        <v>Page 12 of 13</v>
      </c>
      <c r="AN3" s="5"/>
      <c r="AO3" s="1"/>
      <c r="AQ3" s="6"/>
      <c r="AZ3" s="32"/>
      <c r="BA3" s="1" t="s">
        <v>0</v>
      </c>
      <c r="BB3" s="1"/>
      <c r="BC3" s="2"/>
      <c r="BG3" s="2" t="s">
        <v>1</v>
      </c>
      <c r="BJ3" s="5"/>
      <c r="BK3" s="5"/>
      <c r="BL3" s="5"/>
      <c r="BM3" s="144" t="str">
        <f>RIGHT('E-6a (1)'!$E$33,13)</f>
        <v>Page 13 of 13</v>
      </c>
      <c r="BN3" s="5"/>
      <c r="BO3" s="1"/>
      <c r="BQ3" s="6"/>
    </row>
    <row r="4" spans="1:72" s="3" customFormat="1" ht="4.5" customHeight="1" x14ac:dyDescent="0.3">
      <c r="A4" s="7"/>
      <c r="B4" s="7"/>
      <c r="C4" s="8"/>
      <c r="D4" s="8"/>
      <c r="E4" s="8"/>
      <c r="F4" s="8"/>
      <c r="G4" s="8"/>
      <c r="H4" s="8"/>
      <c r="I4" s="8"/>
      <c r="J4" s="8"/>
      <c r="K4" s="8"/>
      <c r="L4" s="8"/>
      <c r="M4" s="8"/>
      <c r="O4" s="8"/>
      <c r="Z4" s="32"/>
      <c r="AA4" s="7"/>
      <c r="AB4" s="7"/>
      <c r="AC4" s="8"/>
      <c r="AD4" s="8"/>
      <c r="AE4" s="8"/>
      <c r="AF4" s="8"/>
      <c r="AG4" s="8"/>
      <c r="AH4" s="8"/>
      <c r="AI4" s="8"/>
      <c r="AJ4" s="8"/>
      <c r="AK4" s="8"/>
      <c r="AL4" s="8"/>
      <c r="AM4" s="8"/>
      <c r="AN4" s="8"/>
      <c r="AO4" s="8"/>
      <c r="AZ4" s="32"/>
      <c r="BA4" s="7"/>
      <c r="BB4" s="7"/>
      <c r="BC4" s="8"/>
      <c r="BD4" s="8"/>
      <c r="BE4" s="8"/>
      <c r="BF4" s="8"/>
      <c r="BG4" s="8"/>
      <c r="BH4" s="8"/>
      <c r="BI4" s="8"/>
      <c r="BJ4" s="8"/>
      <c r="BK4" s="8"/>
      <c r="BL4" s="8"/>
      <c r="BM4" s="8"/>
      <c r="BN4" s="8"/>
      <c r="BO4" s="8"/>
    </row>
    <row r="5" spans="1:72" s="3" customFormat="1" x14ac:dyDescent="0.3">
      <c r="A5" s="9" t="s">
        <v>3</v>
      </c>
      <c r="B5" s="9"/>
      <c r="G5" s="1" t="s">
        <v>4</v>
      </c>
      <c r="H5" s="2" t="s">
        <v>32</v>
      </c>
      <c r="J5" s="5"/>
      <c r="K5" s="5"/>
      <c r="L5" s="5"/>
      <c r="M5" s="219" t="s">
        <v>6</v>
      </c>
      <c r="Q5" s="9"/>
      <c r="Z5" s="32"/>
      <c r="AA5" s="9" t="s">
        <v>3</v>
      </c>
      <c r="AB5" s="9"/>
      <c r="AG5" s="1" t="s">
        <v>4</v>
      </c>
      <c r="AH5" s="2" t="s">
        <v>32</v>
      </c>
      <c r="AJ5" s="5"/>
      <c r="AK5" s="5"/>
      <c r="AL5" s="5"/>
      <c r="AM5" s="219" t="s">
        <v>6</v>
      </c>
      <c r="AN5" s="5"/>
      <c r="AQ5" s="9"/>
      <c r="AZ5" s="32"/>
      <c r="BA5" s="9" t="s">
        <v>3</v>
      </c>
      <c r="BB5" s="9"/>
      <c r="BG5" s="1" t="s">
        <v>4</v>
      </c>
      <c r="BH5" s="2" t="s">
        <v>32</v>
      </c>
      <c r="BJ5" s="5"/>
      <c r="BK5" s="5"/>
      <c r="BL5" s="5"/>
      <c r="BM5" s="219" t="s">
        <v>6</v>
      </c>
      <c r="BN5" s="5"/>
      <c r="BQ5" s="9"/>
    </row>
    <row r="6" spans="1:72" s="3" customFormat="1" x14ac:dyDescent="0.3">
      <c r="A6" s="11" t="s">
        <v>8</v>
      </c>
      <c r="B6" s="11"/>
      <c r="F6" s="1"/>
      <c r="G6" s="5"/>
      <c r="H6" s="5"/>
      <c r="I6" s="5"/>
      <c r="J6" s="5"/>
      <c r="K6" s="5"/>
      <c r="L6" s="5"/>
      <c r="M6" s="219" t="str">
        <f>+'Procedures &amp; Inputs'!$F$10</f>
        <v>__X__  Projected Test Year Ended 12/31/27</v>
      </c>
      <c r="Q6" s="10"/>
      <c r="Z6" s="32"/>
      <c r="AA6" s="11" t="s">
        <v>8</v>
      </c>
      <c r="AB6" s="11"/>
      <c r="AF6" s="1"/>
      <c r="AG6" s="5"/>
      <c r="AH6" s="5"/>
      <c r="AI6" s="5"/>
      <c r="AJ6" s="5"/>
      <c r="AK6" s="5"/>
      <c r="AL6" s="5"/>
      <c r="AM6" s="219" t="str">
        <f>+'Procedures &amp; Inputs'!$F$11</f>
        <v>__X__  Projected Test Year Ended 12/31/26</v>
      </c>
      <c r="AN6" s="5"/>
      <c r="AQ6" s="10"/>
      <c r="AZ6" s="32"/>
      <c r="BA6" s="11" t="s">
        <v>8</v>
      </c>
      <c r="BB6" s="11"/>
      <c r="BF6" s="1"/>
      <c r="BG6" s="5"/>
      <c r="BH6" s="5"/>
      <c r="BI6" s="5"/>
      <c r="BJ6" s="5"/>
      <c r="BK6" s="5"/>
      <c r="BL6" s="5"/>
      <c r="BM6" s="219" t="str">
        <f>+'Procedures &amp; Inputs'!$F$12</f>
        <v>__X__  Projected Test Year Ended 12/31/25</v>
      </c>
      <c r="BN6" s="5"/>
      <c r="BQ6" s="10"/>
    </row>
    <row r="7" spans="1:72" s="3" customFormat="1" x14ac:dyDescent="0.3">
      <c r="A7" s="11" t="s">
        <v>255</v>
      </c>
      <c r="B7" s="220"/>
      <c r="C7" s="221"/>
      <c r="D7" s="8"/>
      <c r="E7" s="8"/>
      <c r="F7" s="7"/>
      <c r="G7" s="148"/>
      <c r="H7" s="148"/>
      <c r="I7" s="148"/>
      <c r="J7" s="148"/>
      <c r="K7" s="148"/>
      <c r="L7" s="148"/>
      <c r="M7" s="222" t="str">
        <f>+'Procedures &amp; Inputs'!$H$16</f>
        <v>Witness:  Borsch, Olivier</v>
      </c>
      <c r="O7" s="8"/>
      <c r="Q7" s="9"/>
      <c r="Z7" s="32"/>
      <c r="AA7" s="11" t="s">
        <v>255</v>
      </c>
      <c r="AB7" s="220"/>
      <c r="AC7" s="221"/>
      <c r="AD7" s="8"/>
      <c r="AE7" s="8"/>
      <c r="AF7" s="7"/>
      <c r="AG7" s="148"/>
      <c r="AH7" s="148"/>
      <c r="AI7" s="148"/>
      <c r="AJ7" s="148"/>
      <c r="AK7" s="148"/>
      <c r="AL7" s="148"/>
      <c r="AM7" s="222" t="str">
        <f>+'Procedures &amp; Inputs'!$H$16</f>
        <v>Witness:  Borsch, Olivier</v>
      </c>
      <c r="AN7" s="148"/>
      <c r="AO7" s="8"/>
      <c r="AQ7" s="9"/>
      <c r="AZ7" s="32"/>
      <c r="BA7" s="11" t="s">
        <v>255</v>
      </c>
      <c r="BB7" s="220"/>
      <c r="BC7" s="221"/>
      <c r="BD7" s="8"/>
      <c r="BE7" s="8"/>
      <c r="BF7" s="7"/>
      <c r="BG7" s="148"/>
      <c r="BH7" s="148"/>
      <c r="BI7" s="148"/>
      <c r="BJ7" s="148"/>
      <c r="BK7" s="148"/>
      <c r="BL7" s="148"/>
      <c r="BM7" s="222" t="str">
        <f>+'Procedures &amp; Inputs'!$H$16</f>
        <v>Witness:  Borsch, Olivier</v>
      </c>
      <c r="BN7" s="148"/>
      <c r="BO7" s="8"/>
      <c r="BQ7" s="9"/>
    </row>
    <row r="8" spans="1:72" s="3" customFormat="1" ht="14.7" customHeight="1" x14ac:dyDescent="0.3">
      <c r="A8" s="1"/>
      <c r="B8" s="1"/>
      <c r="C8" s="14"/>
      <c r="F8" s="2"/>
      <c r="G8" s="223">
        <v>-1</v>
      </c>
      <c r="H8" s="223">
        <f>+G8-1</f>
        <v>-2</v>
      </c>
      <c r="I8" s="223">
        <f t="shared" ref="I8:M8" si="0">+H8-1</f>
        <v>-3</v>
      </c>
      <c r="J8" s="223">
        <f t="shared" si="0"/>
        <v>-4</v>
      </c>
      <c r="K8" s="223">
        <f t="shared" si="0"/>
        <v>-5</v>
      </c>
      <c r="L8" s="223">
        <f t="shared" si="0"/>
        <v>-6</v>
      </c>
      <c r="M8" s="223">
        <f t="shared" si="0"/>
        <v>-7</v>
      </c>
      <c r="N8" s="5"/>
      <c r="O8" s="1"/>
      <c r="Z8" s="32"/>
      <c r="AA8" s="1"/>
      <c r="AB8" s="1"/>
      <c r="AC8" s="14"/>
      <c r="AF8" s="2"/>
      <c r="AG8" s="223">
        <v>-1</v>
      </c>
      <c r="AH8" s="223">
        <f>+AG8-1</f>
        <v>-2</v>
      </c>
      <c r="AI8" s="223">
        <f t="shared" ref="AI8:AM8" si="1">+AH8-1</f>
        <v>-3</v>
      </c>
      <c r="AJ8" s="223">
        <f t="shared" si="1"/>
        <v>-4</v>
      </c>
      <c r="AK8" s="223">
        <f t="shared" si="1"/>
        <v>-5</v>
      </c>
      <c r="AL8" s="223">
        <f t="shared" si="1"/>
        <v>-6</v>
      </c>
      <c r="AM8" s="223">
        <f t="shared" si="1"/>
        <v>-7</v>
      </c>
      <c r="AN8" s="5"/>
      <c r="AO8" s="1"/>
      <c r="AZ8" s="32"/>
      <c r="BA8" s="1"/>
      <c r="BB8" s="1"/>
      <c r="BC8" s="14"/>
      <c r="BF8" s="2"/>
      <c r="BG8" s="223">
        <v>-1</v>
      </c>
      <c r="BH8" s="223">
        <f>+BG8-1</f>
        <v>-2</v>
      </c>
      <c r="BI8" s="223">
        <f t="shared" ref="BI8:BM8" si="2">+BH8-1</f>
        <v>-3</v>
      </c>
      <c r="BJ8" s="223">
        <f t="shared" si="2"/>
        <v>-4</v>
      </c>
      <c r="BK8" s="223">
        <f t="shared" si="2"/>
        <v>-5</v>
      </c>
      <c r="BL8" s="223">
        <f t="shared" si="2"/>
        <v>-6</v>
      </c>
      <c r="BM8" s="223">
        <f t="shared" si="2"/>
        <v>-7</v>
      </c>
      <c r="BN8" s="5"/>
      <c r="BO8" s="1"/>
    </row>
    <row r="9" spans="1:72" s="224" customFormat="1" x14ac:dyDescent="0.25">
      <c r="G9" s="225" t="s">
        <v>142</v>
      </c>
      <c r="H9" s="226" t="s">
        <v>203</v>
      </c>
      <c r="I9" s="226" t="s">
        <v>143</v>
      </c>
      <c r="J9" s="225" t="s">
        <v>204</v>
      </c>
      <c r="K9" s="225" t="s">
        <v>205</v>
      </c>
      <c r="L9" s="225" t="s">
        <v>145</v>
      </c>
      <c r="M9" s="225" t="s">
        <v>145</v>
      </c>
      <c r="Z9" s="227"/>
      <c r="AG9" s="225" t="s">
        <v>142</v>
      </c>
      <c r="AH9" s="226" t="s">
        <v>203</v>
      </c>
      <c r="AI9" s="226" t="s">
        <v>143</v>
      </c>
      <c r="AJ9" s="225" t="s">
        <v>204</v>
      </c>
      <c r="AK9" s="225" t="s">
        <v>205</v>
      </c>
      <c r="AL9" s="225" t="s">
        <v>145</v>
      </c>
      <c r="AM9" s="225" t="s">
        <v>145</v>
      </c>
      <c r="AZ9" s="227"/>
      <c r="BG9" s="225" t="s">
        <v>142</v>
      </c>
      <c r="BH9" s="226" t="s">
        <v>203</v>
      </c>
      <c r="BI9" s="226" t="s">
        <v>143</v>
      </c>
      <c r="BJ9" s="225" t="s">
        <v>204</v>
      </c>
      <c r="BK9" s="225" t="s">
        <v>205</v>
      </c>
      <c r="BL9" s="225" t="s">
        <v>145</v>
      </c>
      <c r="BM9" s="225" t="s">
        <v>145</v>
      </c>
    </row>
    <row r="10" spans="1:72" s="224" customFormat="1" x14ac:dyDescent="0.25">
      <c r="F10" s="228"/>
      <c r="G10" s="226" t="s">
        <v>206</v>
      </c>
      <c r="H10" s="226" t="s">
        <v>207</v>
      </c>
      <c r="I10" s="226" t="s">
        <v>148</v>
      </c>
      <c r="J10" s="226" t="s">
        <v>208</v>
      </c>
      <c r="K10" s="225" t="s">
        <v>209</v>
      </c>
      <c r="L10" s="225" t="s">
        <v>150</v>
      </c>
      <c r="M10" s="225" t="s">
        <v>210</v>
      </c>
      <c r="Z10" s="227"/>
      <c r="AF10" s="228"/>
      <c r="AG10" s="226" t="s">
        <v>206</v>
      </c>
      <c r="AH10" s="226" t="s">
        <v>207</v>
      </c>
      <c r="AI10" s="226" t="s">
        <v>148</v>
      </c>
      <c r="AJ10" s="226" t="s">
        <v>208</v>
      </c>
      <c r="AK10" s="225" t="s">
        <v>209</v>
      </c>
      <c r="AL10" s="225" t="s">
        <v>150</v>
      </c>
      <c r="AM10" s="225" t="s">
        <v>210</v>
      </c>
      <c r="AZ10" s="227"/>
      <c r="BF10" s="228"/>
      <c r="BG10" s="226" t="s">
        <v>206</v>
      </c>
      <c r="BH10" s="226" t="s">
        <v>207</v>
      </c>
      <c r="BI10" s="226" t="s">
        <v>148</v>
      </c>
      <c r="BJ10" s="226" t="s">
        <v>208</v>
      </c>
      <c r="BK10" s="225" t="s">
        <v>209</v>
      </c>
      <c r="BL10" s="225" t="s">
        <v>150</v>
      </c>
      <c r="BM10" s="225" t="s">
        <v>210</v>
      </c>
    </row>
    <row r="11" spans="1:72" s="224" customFormat="1" x14ac:dyDescent="0.3">
      <c r="F11" s="228"/>
      <c r="G11" s="225" t="s">
        <v>211</v>
      </c>
      <c r="H11" s="225" t="s">
        <v>212</v>
      </c>
      <c r="I11" s="225" t="s">
        <v>153</v>
      </c>
      <c r="J11" s="225" t="s">
        <v>211</v>
      </c>
      <c r="K11" s="225" t="s">
        <v>155</v>
      </c>
      <c r="L11" s="225" t="s">
        <v>155</v>
      </c>
      <c r="M11" s="225" t="s">
        <v>155</v>
      </c>
      <c r="R11" s="229" t="s">
        <v>213</v>
      </c>
      <c r="S11" s="230"/>
      <c r="T11" s="231"/>
      <c r="Z11" s="227"/>
      <c r="AF11" s="228"/>
      <c r="AG11" s="225" t="s">
        <v>211</v>
      </c>
      <c r="AH11" s="225" t="s">
        <v>212</v>
      </c>
      <c r="AI11" s="225" t="s">
        <v>153</v>
      </c>
      <c r="AJ11" s="225" t="s">
        <v>211</v>
      </c>
      <c r="AK11" s="225" t="s">
        <v>155</v>
      </c>
      <c r="AL11" s="225" t="s">
        <v>155</v>
      </c>
      <c r="AM11" s="225" t="s">
        <v>155</v>
      </c>
      <c r="AR11" s="229" t="s">
        <v>213</v>
      </c>
      <c r="AS11" s="230"/>
      <c r="AT11" s="231"/>
      <c r="AZ11" s="227"/>
      <c r="BF11" s="228"/>
      <c r="BG11" s="225" t="s">
        <v>211</v>
      </c>
      <c r="BH11" s="225" t="s">
        <v>212</v>
      </c>
      <c r="BI11" s="225" t="s">
        <v>153</v>
      </c>
      <c r="BJ11" s="225" t="s">
        <v>211</v>
      </c>
      <c r="BK11" s="225" t="s">
        <v>155</v>
      </c>
      <c r="BL11" s="225" t="s">
        <v>155</v>
      </c>
      <c r="BM11" s="225" t="s">
        <v>155</v>
      </c>
      <c r="BR11" s="229" t="s">
        <v>213</v>
      </c>
      <c r="BS11" s="230"/>
      <c r="BT11" s="231"/>
    </row>
    <row r="12" spans="1:72" s="224" customFormat="1" x14ac:dyDescent="0.3">
      <c r="A12" s="232" t="s">
        <v>16</v>
      </c>
      <c r="B12" s="173" t="s">
        <v>156</v>
      </c>
      <c r="C12" s="233"/>
      <c r="D12" s="233"/>
      <c r="E12" s="233"/>
      <c r="F12" s="234"/>
      <c r="G12" s="235" t="s">
        <v>212</v>
      </c>
      <c r="H12" s="235" t="s">
        <v>158</v>
      </c>
      <c r="I12" s="235" t="s">
        <v>158</v>
      </c>
      <c r="J12" s="235" t="s">
        <v>212</v>
      </c>
      <c r="K12" s="235" t="s">
        <v>214</v>
      </c>
      <c r="L12" s="235" t="s">
        <v>214</v>
      </c>
      <c r="M12" s="235" t="s">
        <v>214</v>
      </c>
      <c r="R12" s="236" t="s">
        <v>215</v>
      </c>
      <c r="S12" s="236" t="s">
        <v>216</v>
      </c>
      <c r="T12" s="237" t="s">
        <v>217</v>
      </c>
      <c r="Z12" s="227"/>
      <c r="AA12" s="232" t="s">
        <v>16</v>
      </c>
      <c r="AB12" s="173" t="s">
        <v>156</v>
      </c>
      <c r="AC12" s="233"/>
      <c r="AD12" s="233"/>
      <c r="AE12" s="233"/>
      <c r="AF12" s="234"/>
      <c r="AG12" s="235" t="s">
        <v>212</v>
      </c>
      <c r="AH12" s="235" t="s">
        <v>158</v>
      </c>
      <c r="AI12" s="235" t="s">
        <v>158</v>
      </c>
      <c r="AJ12" s="235" t="s">
        <v>212</v>
      </c>
      <c r="AK12" s="235" t="s">
        <v>214</v>
      </c>
      <c r="AL12" s="235" t="s">
        <v>214</v>
      </c>
      <c r="AM12" s="235" t="s">
        <v>214</v>
      </c>
      <c r="AR12" s="236" t="s">
        <v>215</v>
      </c>
      <c r="AS12" s="236" t="s">
        <v>216</v>
      </c>
      <c r="AT12" s="237" t="s">
        <v>217</v>
      </c>
      <c r="AZ12" s="227"/>
      <c r="BA12" s="232" t="s">
        <v>16</v>
      </c>
      <c r="BB12" s="173" t="s">
        <v>156</v>
      </c>
      <c r="BC12" s="233"/>
      <c r="BD12" s="233"/>
      <c r="BE12" s="233"/>
      <c r="BF12" s="234"/>
      <c r="BG12" s="235" t="s">
        <v>212</v>
      </c>
      <c r="BH12" s="235" t="s">
        <v>158</v>
      </c>
      <c r="BI12" s="235" t="s">
        <v>158</v>
      </c>
      <c r="BJ12" s="235" t="s">
        <v>212</v>
      </c>
      <c r="BK12" s="235" t="s">
        <v>214</v>
      </c>
      <c r="BL12" s="235" t="s">
        <v>214</v>
      </c>
      <c r="BM12" s="235" t="s">
        <v>214</v>
      </c>
      <c r="BR12" s="236" t="s">
        <v>215</v>
      </c>
      <c r="BS12" s="236" t="s">
        <v>216</v>
      </c>
      <c r="BT12" s="237" t="s">
        <v>217</v>
      </c>
    </row>
    <row r="13" spans="1:72" s="241" customFormat="1" x14ac:dyDescent="0.25">
      <c r="A13" s="238">
        <v>1</v>
      </c>
      <c r="B13" s="239" t="s">
        <v>218</v>
      </c>
      <c r="C13" s="240" t="s">
        <v>172</v>
      </c>
      <c r="G13" s="242"/>
      <c r="H13" s="242"/>
      <c r="I13" s="242"/>
      <c r="J13" s="242"/>
      <c r="K13" s="242"/>
      <c r="L13" s="242"/>
      <c r="M13" s="242"/>
      <c r="Z13" s="243"/>
      <c r="AA13" s="238">
        <v>1</v>
      </c>
      <c r="AB13" s="239" t="s">
        <v>218</v>
      </c>
      <c r="AC13" s="240" t="s">
        <v>172</v>
      </c>
      <c r="AG13" s="242"/>
      <c r="AH13" s="242"/>
      <c r="AI13" s="242"/>
      <c r="AJ13" s="242"/>
      <c r="AK13" s="242"/>
      <c r="AL13" s="242"/>
      <c r="AM13" s="242"/>
      <c r="AZ13" s="243"/>
      <c r="BA13" s="238">
        <v>1</v>
      </c>
      <c r="BB13" s="239" t="s">
        <v>218</v>
      </c>
      <c r="BC13" s="240" t="s">
        <v>172</v>
      </c>
      <c r="BG13" s="242"/>
      <c r="BH13" s="242"/>
      <c r="BI13" s="242"/>
      <c r="BJ13" s="242"/>
      <c r="BK13" s="242"/>
      <c r="BL13" s="242"/>
      <c r="BM13" s="242"/>
    </row>
    <row r="14" spans="1:72" s="241" customFormat="1" x14ac:dyDescent="0.3">
      <c r="A14" s="238">
        <f>+A13+1</f>
        <v>2</v>
      </c>
      <c r="C14" s="244">
        <v>1</v>
      </c>
      <c r="D14" s="241" t="s">
        <v>64</v>
      </c>
      <c r="G14" s="242">
        <f>SUMIFS('[8]by Rate Code - Yr5'!$AJ:$AJ,'[8]by Rate Code - Yr5'!$A:$A,R14,'[8]by Rate Code - Yr5'!$D:$D,S14,'[8]by Rate Code - Yr5'!$E:$E,T14)</f>
        <v>985905.50410356687</v>
      </c>
      <c r="H14" s="245">
        <v>1</v>
      </c>
      <c r="I14" s="246">
        <v>0.98</v>
      </c>
      <c r="J14" s="242">
        <f>G14*H14*I14</f>
        <v>966187.39402149548</v>
      </c>
      <c r="K14" s="242">
        <f>J14</f>
        <v>966187.39402149548</v>
      </c>
      <c r="L14" s="242">
        <v>0</v>
      </c>
      <c r="M14" s="242">
        <v>0</v>
      </c>
      <c r="R14" s="247" t="s">
        <v>126</v>
      </c>
      <c r="S14" s="248" t="s">
        <v>219</v>
      </c>
      <c r="T14" s="248" t="s">
        <v>219</v>
      </c>
      <c r="Z14" s="243"/>
      <c r="AA14" s="238">
        <f t="shared" ref="AA14:AA75" si="3">+AA13+1</f>
        <v>2</v>
      </c>
      <c r="AC14" s="244">
        <v>1</v>
      </c>
      <c r="AD14" s="241" t="s">
        <v>64</v>
      </c>
      <c r="AG14" s="242">
        <f>SUMIFS('[8]by Rate Code - Yr4'!$AJ:$AJ,'[8]by Rate Code - Yr4'!$A:$A,AR14,'[8]by Rate Code - Yr4'!$D:$D,AS14,'[8]by Rate Code - Yr4'!$E:$E,AT14)</f>
        <v>980011.09572475869</v>
      </c>
      <c r="AH14" s="245">
        <v>1</v>
      </c>
      <c r="AI14" s="246">
        <f>+I14</f>
        <v>0.98</v>
      </c>
      <c r="AJ14" s="242">
        <f>AG14*AH14*AI14</f>
        <v>960410.87381026347</v>
      </c>
      <c r="AK14" s="242">
        <f>AJ14</f>
        <v>960410.87381026347</v>
      </c>
      <c r="AL14" s="242">
        <v>0</v>
      </c>
      <c r="AM14" s="242">
        <v>0</v>
      </c>
      <c r="AR14" s="247" t="s">
        <v>126</v>
      </c>
      <c r="AS14" s="248" t="s">
        <v>219</v>
      </c>
      <c r="AT14" s="248" t="s">
        <v>219</v>
      </c>
      <c r="AZ14" s="243"/>
      <c r="BA14" s="238">
        <f t="shared" ref="BA14:BA75" si="4">+BA13+1</f>
        <v>2</v>
      </c>
      <c r="BC14" s="244">
        <v>1</v>
      </c>
      <c r="BD14" s="241" t="s">
        <v>64</v>
      </c>
      <c r="BG14" s="242">
        <f>SUMIFS('[8]by Rate Code - Yr3'!$AJ:$AJ,'[8]by Rate Code - Yr3'!$A:$A,BR14,'[8]by Rate Code - Yr3'!$D:$D,BS14,'[8]by Rate Code - Yr3'!$E:$E,BT14)</f>
        <v>975153.936534637</v>
      </c>
      <c r="BH14" s="245">
        <v>1</v>
      </c>
      <c r="BI14" s="246">
        <f>+AI14</f>
        <v>0.98</v>
      </c>
      <c r="BJ14" s="242">
        <f>BG14*BH14*BI14</f>
        <v>955650.85780394427</v>
      </c>
      <c r="BK14" s="242">
        <f>BJ14</f>
        <v>955650.85780394427</v>
      </c>
      <c r="BL14" s="242">
        <v>0</v>
      </c>
      <c r="BM14" s="242">
        <v>0</v>
      </c>
      <c r="BR14" s="247" t="s">
        <v>126</v>
      </c>
      <c r="BS14" s="248" t="s">
        <v>219</v>
      </c>
      <c r="BT14" s="248" t="s">
        <v>219</v>
      </c>
    </row>
    <row r="15" spans="1:72" s="241" customFormat="1" x14ac:dyDescent="0.3">
      <c r="A15" s="238">
        <f t="shared" ref="A15:A75" si="5">+A14+1</f>
        <v>3</v>
      </c>
      <c r="C15" s="244">
        <v>2</v>
      </c>
      <c r="D15" s="241" t="s">
        <v>165</v>
      </c>
      <c r="G15" s="242">
        <f>SUMIFS('[8]by Rate Code - Yr5'!$AJ:$AJ,'[8]by Rate Code - Yr5'!$A:$A,R15,'[8]by Rate Code - Yr5'!$D:$D,S15,'[8]by Rate Code - Yr5'!$E:$E,T15)</f>
        <v>4437924.1837743875</v>
      </c>
      <c r="H15" s="245">
        <v>1</v>
      </c>
      <c r="I15" s="246">
        <v>0.99</v>
      </c>
      <c r="J15" s="242">
        <f>G15*H15*I15</f>
        <v>4393544.9419366438</v>
      </c>
      <c r="K15" s="242">
        <f>J15</f>
        <v>4393544.9419366438</v>
      </c>
      <c r="L15" s="242">
        <f>K15</f>
        <v>4393544.9419366438</v>
      </c>
      <c r="M15" s="242">
        <v>0</v>
      </c>
      <c r="R15" s="247" t="s">
        <v>126</v>
      </c>
      <c r="S15" s="248" t="s">
        <v>165</v>
      </c>
      <c r="T15" s="248" t="s">
        <v>165</v>
      </c>
      <c r="Z15" s="243"/>
      <c r="AA15" s="238">
        <f t="shared" si="3"/>
        <v>3</v>
      </c>
      <c r="AC15" s="244">
        <v>2</v>
      </c>
      <c r="AD15" s="241" t="s">
        <v>165</v>
      </c>
      <c r="AG15" s="242">
        <f>SUMIFS('[8]by Rate Code - Yr4'!$AJ:$AJ,'[8]by Rate Code - Yr4'!$A:$A,AR15,'[8]by Rate Code - Yr4'!$D:$D,AS15,'[8]by Rate Code - Yr4'!$E:$E,AT15)</f>
        <v>4411391.2783544706</v>
      </c>
      <c r="AH15" s="245">
        <v>1</v>
      </c>
      <c r="AI15" s="246">
        <f t="shared" ref="AI15:AI18" si="6">+I15</f>
        <v>0.99</v>
      </c>
      <c r="AJ15" s="242">
        <f>AG15*AH15*AI15</f>
        <v>4367277.3655709261</v>
      </c>
      <c r="AK15" s="242">
        <f>AJ15</f>
        <v>4367277.3655709261</v>
      </c>
      <c r="AL15" s="242">
        <f>AK15</f>
        <v>4367277.3655709261</v>
      </c>
      <c r="AM15" s="242">
        <v>0</v>
      </c>
      <c r="AR15" s="247" t="s">
        <v>126</v>
      </c>
      <c r="AS15" s="248" t="s">
        <v>165</v>
      </c>
      <c r="AT15" s="248" t="s">
        <v>165</v>
      </c>
      <c r="AZ15" s="243"/>
      <c r="BA15" s="238">
        <f t="shared" si="4"/>
        <v>3</v>
      </c>
      <c r="BC15" s="244">
        <v>2</v>
      </c>
      <c r="BD15" s="241" t="s">
        <v>165</v>
      </c>
      <c r="BG15" s="242">
        <f>SUMIFS('[8]by Rate Code - Yr3'!$AJ:$AJ,'[8]by Rate Code - Yr3'!$A:$A,BR15,'[8]by Rate Code - Yr3'!$D:$D,BS15,'[8]by Rate Code - Yr3'!$E:$E,BT15)</f>
        <v>4389527.4139733883</v>
      </c>
      <c r="BH15" s="245">
        <v>1</v>
      </c>
      <c r="BI15" s="246">
        <f t="shared" ref="BI15:BI18" si="7">+AI15</f>
        <v>0.99</v>
      </c>
      <c r="BJ15" s="242">
        <f>BG15*BH15*BI15</f>
        <v>4345632.1398336543</v>
      </c>
      <c r="BK15" s="242">
        <f>BJ15</f>
        <v>4345632.1398336543</v>
      </c>
      <c r="BL15" s="242">
        <f>BK15</f>
        <v>4345632.1398336543</v>
      </c>
      <c r="BM15" s="242">
        <v>0</v>
      </c>
      <c r="BR15" s="247" t="s">
        <v>126</v>
      </c>
      <c r="BS15" s="248" t="s">
        <v>165</v>
      </c>
      <c r="BT15" s="248" t="s">
        <v>165</v>
      </c>
    </row>
    <row r="16" spans="1:72" s="241" customFormat="1" x14ac:dyDescent="0.3">
      <c r="A16" s="238">
        <f t="shared" si="5"/>
        <v>4</v>
      </c>
      <c r="C16" s="244">
        <v>3</v>
      </c>
      <c r="D16" s="241" t="s">
        <v>220</v>
      </c>
      <c r="G16" s="242">
        <f>SUMIFS('[8]by Rate Code - Yr5'!$AJ:$AJ,'[8]by Rate Code - Yr5'!$A:$A,R16,'[8]by Rate Code - Yr5'!$D:$D,S16,'[8]by Rate Code - Yr5'!$E:$E,T16)</f>
        <v>9541.8613879632667</v>
      </c>
      <c r="H16" s="245">
        <v>1</v>
      </c>
      <c r="I16" s="246">
        <v>1</v>
      </c>
      <c r="J16" s="242">
        <f>G16*H16*I16</f>
        <v>9541.8613879632667</v>
      </c>
      <c r="K16" s="242">
        <f>J16</f>
        <v>9541.8613879632667</v>
      </c>
      <c r="L16" s="242">
        <f>K16</f>
        <v>9541.8613879632667</v>
      </c>
      <c r="M16" s="242">
        <v>0</v>
      </c>
      <c r="R16" s="247" t="s">
        <v>126</v>
      </c>
      <c r="S16" s="248" t="s">
        <v>165</v>
      </c>
      <c r="T16" s="248" t="s">
        <v>221</v>
      </c>
      <c r="Z16" s="243"/>
      <c r="AA16" s="238">
        <f t="shared" si="3"/>
        <v>4</v>
      </c>
      <c r="AC16" s="244">
        <v>3</v>
      </c>
      <c r="AD16" s="241" t="s">
        <v>220</v>
      </c>
      <c r="AG16" s="242">
        <f>SUMIFS('[8]by Rate Code - Yr4'!$AJ:$AJ,'[8]by Rate Code - Yr4'!$A:$A,AR16,'[8]by Rate Code - Yr4'!$D:$D,AS16,'[8]by Rate Code - Yr4'!$E:$E,AT16)</f>
        <v>9484.8137018711041</v>
      </c>
      <c r="AH16" s="245">
        <v>1</v>
      </c>
      <c r="AI16" s="246">
        <f t="shared" si="6"/>
        <v>1</v>
      </c>
      <c r="AJ16" s="242">
        <f>AG16*AH16*AI16</f>
        <v>9484.8137018711041</v>
      </c>
      <c r="AK16" s="242">
        <f>AJ16</f>
        <v>9484.8137018711041</v>
      </c>
      <c r="AL16" s="242">
        <f>AK16</f>
        <v>9484.8137018711041</v>
      </c>
      <c r="AM16" s="242">
        <v>0</v>
      </c>
      <c r="AR16" s="247" t="s">
        <v>126</v>
      </c>
      <c r="AS16" s="248" t="s">
        <v>165</v>
      </c>
      <c r="AT16" s="248" t="s">
        <v>221</v>
      </c>
      <c r="AZ16" s="243"/>
      <c r="BA16" s="238">
        <f t="shared" si="4"/>
        <v>4</v>
      </c>
      <c r="BC16" s="244">
        <v>3</v>
      </c>
      <c r="BD16" s="241" t="s">
        <v>220</v>
      </c>
      <c r="BG16" s="242">
        <f>SUMIFS('[8]by Rate Code - Yr3'!$AJ:$AJ,'[8]by Rate Code - Yr3'!$A:$A,BR16,'[8]by Rate Code - Yr3'!$D:$D,BS16,'[8]by Rate Code - Yr3'!$E:$E,BT16)</f>
        <v>9437.8047952989127</v>
      </c>
      <c r="BH16" s="245">
        <v>1</v>
      </c>
      <c r="BI16" s="246">
        <f t="shared" si="7"/>
        <v>1</v>
      </c>
      <c r="BJ16" s="242">
        <f>BG16*BH16*BI16</f>
        <v>9437.8047952989127</v>
      </c>
      <c r="BK16" s="242">
        <f>BJ16</f>
        <v>9437.8047952989127</v>
      </c>
      <c r="BL16" s="242">
        <f>BK16</f>
        <v>9437.8047952989127</v>
      </c>
      <c r="BM16" s="242">
        <v>0</v>
      </c>
      <c r="BR16" s="247" t="s">
        <v>126</v>
      </c>
      <c r="BS16" s="248" t="s">
        <v>165</v>
      </c>
      <c r="BT16" s="248" t="s">
        <v>221</v>
      </c>
    </row>
    <row r="17" spans="1:72" s="241" customFormat="1" x14ac:dyDescent="0.3">
      <c r="A17" s="238">
        <f t="shared" si="5"/>
        <v>5</v>
      </c>
      <c r="C17" s="244">
        <v>4</v>
      </c>
      <c r="D17" s="241" t="s">
        <v>222</v>
      </c>
      <c r="G17" s="242">
        <f>SUMIFS('[8]by Rate Code - Yr5'!$AJ:$AJ,'[8]by Rate Code - Yr5'!$A:$A,R17,'[8]by Rate Code - Yr5'!$D:$D,S17,'[8]by Rate Code - Yr5'!$E:$E,T17)</f>
        <v>0</v>
      </c>
      <c r="H17" s="245">
        <v>1</v>
      </c>
      <c r="I17" s="246">
        <f>I15</f>
        <v>0.99</v>
      </c>
      <c r="J17" s="242">
        <f>G17*H17*I17</f>
        <v>0</v>
      </c>
      <c r="K17" s="242">
        <f>J17</f>
        <v>0</v>
      </c>
      <c r="L17" s="242">
        <f>K17</f>
        <v>0</v>
      </c>
      <c r="M17" s="242">
        <f>J17</f>
        <v>0</v>
      </c>
      <c r="R17" s="247" t="s">
        <v>126</v>
      </c>
      <c r="S17" s="248" t="s">
        <v>221</v>
      </c>
      <c r="T17" s="248" t="s">
        <v>165</v>
      </c>
      <c r="Z17" s="243"/>
      <c r="AA17" s="238">
        <f t="shared" si="3"/>
        <v>5</v>
      </c>
      <c r="AC17" s="244">
        <v>4</v>
      </c>
      <c r="AD17" s="241" t="s">
        <v>222</v>
      </c>
      <c r="AG17" s="242">
        <f>SUMIFS('[8]by Rate Code - Yr4'!$AJ:$AJ,'[8]by Rate Code - Yr4'!$A:$A,AR17,'[8]by Rate Code - Yr4'!$D:$D,AS17,'[8]by Rate Code - Yr4'!$E:$E,AT17)</f>
        <v>0</v>
      </c>
      <c r="AH17" s="245">
        <v>1</v>
      </c>
      <c r="AI17" s="246">
        <f t="shared" si="6"/>
        <v>0.99</v>
      </c>
      <c r="AJ17" s="242">
        <f>AG17*AH17*AI17</f>
        <v>0</v>
      </c>
      <c r="AK17" s="242">
        <f>AJ17</f>
        <v>0</v>
      </c>
      <c r="AL17" s="242">
        <f>AK17</f>
        <v>0</v>
      </c>
      <c r="AM17" s="242">
        <f>AJ17</f>
        <v>0</v>
      </c>
      <c r="AR17" s="247" t="s">
        <v>126</v>
      </c>
      <c r="AS17" s="248" t="s">
        <v>221</v>
      </c>
      <c r="AT17" s="248" t="s">
        <v>165</v>
      </c>
      <c r="AZ17" s="243"/>
      <c r="BA17" s="238">
        <f t="shared" si="4"/>
        <v>5</v>
      </c>
      <c r="BC17" s="244">
        <v>4</v>
      </c>
      <c r="BD17" s="241" t="s">
        <v>222</v>
      </c>
      <c r="BG17" s="242">
        <f>SUMIFS('[8]by Rate Code - Yr3'!$AJ:$AJ,'[8]by Rate Code - Yr3'!$A:$A,BR17,'[8]by Rate Code - Yr3'!$D:$D,BS17,'[8]by Rate Code - Yr3'!$E:$E,BT17)</f>
        <v>0</v>
      </c>
      <c r="BH17" s="245">
        <v>1</v>
      </c>
      <c r="BI17" s="246">
        <f t="shared" si="7"/>
        <v>0.99</v>
      </c>
      <c r="BJ17" s="242">
        <f>BG17*BH17*BI17</f>
        <v>0</v>
      </c>
      <c r="BK17" s="242">
        <f>BJ17</f>
        <v>0</v>
      </c>
      <c r="BL17" s="242">
        <f>BK17</f>
        <v>0</v>
      </c>
      <c r="BM17" s="242">
        <f>BJ17</f>
        <v>0</v>
      </c>
      <c r="BR17" s="247" t="s">
        <v>126</v>
      </c>
      <c r="BS17" s="248" t="s">
        <v>221</v>
      </c>
      <c r="BT17" s="248" t="s">
        <v>165</v>
      </c>
    </row>
    <row r="18" spans="1:72" s="241" customFormat="1" x14ac:dyDescent="0.3">
      <c r="A18" s="238">
        <f t="shared" si="5"/>
        <v>6</v>
      </c>
      <c r="C18" s="244">
        <v>5</v>
      </c>
      <c r="D18" s="241" t="s">
        <v>167</v>
      </c>
      <c r="G18" s="242">
        <f>SUMIFS('[8]by Rate Code - Yr5'!$AJ:$AJ,'[8]by Rate Code - Yr5'!$A:$A,R18,'[8]by Rate Code - Yr5'!$D:$D,S18,'[8]by Rate Code - Yr5'!$E:$E,T18)</f>
        <v>31824110.244892307</v>
      </c>
      <c r="H18" s="245">
        <v>1</v>
      </c>
      <c r="I18" s="246">
        <v>1</v>
      </c>
      <c r="J18" s="242">
        <f>G18*H18*I18</f>
        <v>31824110.244892307</v>
      </c>
      <c r="K18" s="249">
        <f>J18</f>
        <v>31824110.244892307</v>
      </c>
      <c r="L18" s="249">
        <f>K18</f>
        <v>31824110.244892307</v>
      </c>
      <c r="M18" s="249">
        <f>J18</f>
        <v>31824110.244892307</v>
      </c>
      <c r="R18" s="247" t="s">
        <v>126</v>
      </c>
      <c r="S18" s="248" t="s">
        <v>221</v>
      </c>
      <c r="T18" s="248" t="s">
        <v>221</v>
      </c>
      <c r="Z18" s="243"/>
      <c r="AA18" s="238">
        <f t="shared" si="3"/>
        <v>6</v>
      </c>
      <c r="AC18" s="244">
        <v>5</v>
      </c>
      <c r="AD18" s="241" t="s">
        <v>167</v>
      </c>
      <c r="AG18" s="242">
        <f>SUMIFS('[8]by Rate Code - Yr4'!$AJ:$AJ,'[8]by Rate Code - Yr4'!$A:$A,AR18,'[8]by Rate Code - Yr4'!$D:$D,AS18,'[8]by Rate Code - Yr4'!$E:$E,AT18)</f>
        <v>31633844.239382818</v>
      </c>
      <c r="AH18" s="245">
        <v>1</v>
      </c>
      <c r="AI18" s="246">
        <f t="shared" si="6"/>
        <v>1</v>
      </c>
      <c r="AJ18" s="242">
        <f>AG18*AH18*AI18</f>
        <v>31633844.239382818</v>
      </c>
      <c r="AK18" s="249">
        <f>AJ18</f>
        <v>31633844.239382818</v>
      </c>
      <c r="AL18" s="249">
        <f>AK18</f>
        <v>31633844.239382818</v>
      </c>
      <c r="AM18" s="249">
        <f>AJ18</f>
        <v>31633844.239382818</v>
      </c>
      <c r="AR18" s="247" t="s">
        <v>126</v>
      </c>
      <c r="AS18" s="248" t="s">
        <v>221</v>
      </c>
      <c r="AT18" s="248" t="s">
        <v>221</v>
      </c>
      <c r="AZ18" s="243"/>
      <c r="BA18" s="238">
        <f t="shared" si="4"/>
        <v>6</v>
      </c>
      <c r="BC18" s="244">
        <v>5</v>
      </c>
      <c r="BD18" s="241" t="s">
        <v>167</v>
      </c>
      <c r="BG18" s="242">
        <f>SUMIFS('[8]by Rate Code - Yr3'!$AJ:$AJ,'[8]by Rate Code - Yr3'!$A:$A,BR18,'[8]by Rate Code - Yr3'!$D:$D,BS18,'[8]by Rate Code - Yr3'!$E:$E,BT18)</f>
        <v>31477059.670374885</v>
      </c>
      <c r="BH18" s="245">
        <v>1</v>
      </c>
      <c r="BI18" s="246">
        <f t="shared" si="7"/>
        <v>1</v>
      </c>
      <c r="BJ18" s="242">
        <f>BG18*BH18*BI18</f>
        <v>31477059.670374885</v>
      </c>
      <c r="BK18" s="249">
        <f>BJ18</f>
        <v>31477059.670374885</v>
      </c>
      <c r="BL18" s="249">
        <f>BK18</f>
        <v>31477059.670374885</v>
      </c>
      <c r="BM18" s="249">
        <f>BJ18</f>
        <v>31477059.670374885</v>
      </c>
      <c r="BR18" s="247" t="s">
        <v>126</v>
      </c>
      <c r="BS18" s="248" t="s">
        <v>221</v>
      </c>
      <c r="BT18" s="248" t="s">
        <v>221</v>
      </c>
    </row>
    <row r="19" spans="1:72" s="241" customFormat="1" x14ac:dyDescent="0.3">
      <c r="A19" s="238">
        <f t="shared" si="5"/>
        <v>7</v>
      </c>
      <c r="C19" s="241" t="s">
        <v>223</v>
      </c>
      <c r="G19" s="250">
        <f>SUM(G14:G18)</f>
        <v>37257481.79415822</v>
      </c>
      <c r="H19" s="242"/>
      <c r="I19" s="242"/>
      <c r="J19" s="242"/>
      <c r="K19" s="242">
        <f>SUM(K14:K18)</f>
        <v>37193384.442238405</v>
      </c>
      <c r="L19" s="242">
        <f>SUM(L14:L18)</f>
        <v>36227197.048216917</v>
      </c>
      <c r="M19" s="242">
        <f>SUM(M14:M18)</f>
        <v>31824110.244892307</v>
      </c>
      <c r="R19" s="247"/>
      <c r="S19" s="248"/>
      <c r="T19" s="248"/>
      <c r="Z19" s="243"/>
      <c r="AA19" s="238">
        <f t="shared" si="3"/>
        <v>7</v>
      </c>
      <c r="AC19" s="241" t="s">
        <v>223</v>
      </c>
      <c r="AG19" s="250">
        <f>SUM(AG14:AG18)</f>
        <v>37034731.427163921</v>
      </c>
      <c r="AH19" s="242"/>
      <c r="AI19" s="242"/>
      <c r="AJ19" s="242"/>
      <c r="AK19" s="242">
        <f>SUM(AK14:AK18)</f>
        <v>36971017.292465881</v>
      </c>
      <c r="AL19" s="242">
        <f>SUM(AL14:AL18)</f>
        <v>36010606.418655619</v>
      </c>
      <c r="AM19" s="242">
        <f>SUM(AM14:AM18)</f>
        <v>31633844.239382818</v>
      </c>
      <c r="AR19" s="247"/>
      <c r="AS19" s="248"/>
      <c r="AT19" s="248"/>
      <c r="AZ19" s="243"/>
      <c r="BA19" s="238">
        <f t="shared" si="4"/>
        <v>7</v>
      </c>
      <c r="BC19" s="241" t="s">
        <v>223</v>
      </c>
      <c r="BG19" s="250">
        <f>SUM(BG14:BG18)</f>
        <v>36851178.825678207</v>
      </c>
      <c r="BH19" s="242"/>
      <c r="BI19" s="242"/>
      <c r="BJ19" s="242"/>
      <c r="BK19" s="242">
        <f>SUM(BK14:BK18)</f>
        <v>36787780.47280778</v>
      </c>
      <c r="BL19" s="242">
        <f>SUM(BL14:BL18)</f>
        <v>35832129.615003839</v>
      </c>
      <c r="BM19" s="242">
        <f>SUM(BM14:BM18)</f>
        <v>31477059.670374885</v>
      </c>
      <c r="BR19" s="247"/>
      <c r="BS19" s="248"/>
      <c r="BT19" s="248"/>
    </row>
    <row r="20" spans="1:72" s="241" customFormat="1" x14ac:dyDescent="0.3">
      <c r="A20" s="238">
        <f t="shared" si="5"/>
        <v>8</v>
      </c>
      <c r="B20" s="239" t="s">
        <v>224</v>
      </c>
      <c r="C20" s="240" t="s">
        <v>177</v>
      </c>
      <c r="G20" s="242"/>
      <c r="H20" s="242"/>
      <c r="I20" s="242"/>
      <c r="J20" s="242"/>
      <c r="K20" s="242"/>
      <c r="L20" s="242"/>
      <c r="M20" s="242"/>
      <c r="R20" s="247"/>
      <c r="S20" s="248"/>
      <c r="T20" s="248"/>
      <c r="Z20" s="243"/>
      <c r="AA20" s="238">
        <f t="shared" si="3"/>
        <v>8</v>
      </c>
      <c r="AB20" s="239" t="s">
        <v>224</v>
      </c>
      <c r="AC20" s="240" t="s">
        <v>177</v>
      </c>
      <c r="AG20" s="242"/>
      <c r="AH20" s="242"/>
      <c r="AI20" s="242"/>
      <c r="AJ20" s="242"/>
      <c r="AK20" s="242"/>
      <c r="AL20" s="242"/>
      <c r="AM20" s="242"/>
      <c r="AR20" s="247"/>
      <c r="AS20" s="248"/>
      <c r="AT20" s="248"/>
      <c r="AZ20" s="243"/>
      <c r="BA20" s="238">
        <f t="shared" si="4"/>
        <v>8</v>
      </c>
      <c r="BB20" s="239" t="s">
        <v>224</v>
      </c>
      <c r="BC20" s="240" t="s">
        <v>177</v>
      </c>
      <c r="BG20" s="242"/>
      <c r="BH20" s="242"/>
      <c r="BI20" s="242"/>
      <c r="BJ20" s="242"/>
      <c r="BK20" s="242"/>
      <c r="BL20" s="242"/>
      <c r="BM20" s="242"/>
      <c r="BR20" s="247"/>
      <c r="BS20" s="248"/>
      <c r="BT20" s="248"/>
    </row>
    <row r="21" spans="1:72" s="241" customFormat="1" x14ac:dyDescent="0.3">
      <c r="A21" s="238">
        <f t="shared" si="5"/>
        <v>9</v>
      </c>
      <c r="C21" s="244">
        <v>1</v>
      </c>
      <c r="D21" s="241" t="s">
        <v>64</v>
      </c>
      <c r="G21" s="242">
        <f>SUMIFS('[8]by Rate Code - Yr5'!$AJ:$AJ,'[8]by Rate Code - Yr5'!$A:$A,R21,'[8]by Rate Code - Yr5'!$D:$D,S21,'[8]by Rate Code - Yr5'!$E:$E,T21)</f>
        <v>0</v>
      </c>
      <c r="H21" s="245">
        <v>1</v>
      </c>
      <c r="I21" s="246">
        <v>0.98</v>
      </c>
      <c r="J21" s="242">
        <f>G21*H21*I21</f>
        <v>0</v>
      </c>
      <c r="K21" s="242">
        <f>J21</f>
        <v>0</v>
      </c>
      <c r="L21" s="242">
        <v>0</v>
      </c>
      <c r="M21" s="242">
        <v>0</v>
      </c>
      <c r="R21" s="247" t="s">
        <v>129</v>
      </c>
      <c r="S21" s="248" t="s">
        <v>219</v>
      </c>
      <c r="T21" s="248" t="s">
        <v>219</v>
      </c>
      <c r="Z21" s="243"/>
      <c r="AA21" s="238">
        <f t="shared" si="3"/>
        <v>9</v>
      </c>
      <c r="AC21" s="244">
        <v>1</v>
      </c>
      <c r="AD21" s="241" t="s">
        <v>64</v>
      </c>
      <c r="AG21" s="242">
        <f>SUMIFS('[8]by Rate Code - Yr4'!$AJ:$AJ,'[8]by Rate Code - Yr4'!$A:$A,AR21,'[8]by Rate Code - Yr4'!$D:$D,AS21,'[8]by Rate Code - Yr4'!$E:$E,AT21)</f>
        <v>0</v>
      </c>
      <c r="AH21" s="245">
        <v>1</v>
      </c>
      <c r="AI21" s="246">
        <f t="shared" ref="AI21:AI23" si="8">+I21</f>
        <v>0.98</v>
      </c>
      <c r="AJ21" s="242">
        <f>AG21*AH21*AI21</f>
        <v>0</v>
      </c>
      <c r="AK21" s="242">
        <f>AJ21</f>
        <v>0</v>
      </c>
      <c r="AL21" s="242">
        <v>0</v>
      </c>
      <c r="AM21" s="242">
        <v>0</v>
      </c>
      <c r="AR21" s="247" t="s">
        <v>129</v>
      </c>
      <c r="AS21" s="248" t="s">
        <v>219</v>
      </c>
      <c r="AT21" s="248" t="s">
        <v>219</v>
      </c>
      <c r="AZ21" s="243"/>
      <c r="BA21" s="238">
        <f t="shared" si="4"/>
        <v>9</v>
      </c>
      <c r="BC21" s="244">
        <v>1</v>
      </c>
      <c r="BD21" s="241" t="s">
        <v>64</v>
      </c>
      <c r="BG21" s="242">
        <f>SUMIFS('[8]by Rate Code - Yr3'!$AJ:$AJ,'[8]by Rate Code - Yr3'!$A:$A,BR21,'[8]by Rate Code - Yr3'!$D:$D,BS21,'[8]by Rate Code - Yr3'!$E:$E,BT21)</f>
        <v>0</v>
      </c>
      <c r="BH21" s="245">
        <v>1</v>
      </c>
      <c r="BI21" s="246">
        <f t="shared" ref="BI21:BI23" si="9">+AI21</f>
        <v>0.98</v>
      </c>
      <c r="BJ21" s="242">
        <f>BG21*BH21*BI21</f>
        <v>0</v>
      </c>
      <c r="BK21" s="242">
        <f>BJ21</f>
        <v>0</v>
      </c>
      <c r="BL21" s="242">
        <v>0</v>
      </c>
      <c r="BM21" s="242">
        <v>0</v>
      </c>
      <c r="BR21" s="247" t="s">
        <v>129</v>
      </c>
      <c r="BS21" s="248" t="s">
        <v>219</v>
      </c>
      <c r="BT21" s="248" t="s">
        <v>219</v>
      </c>
    </row>
    <row r="22" spans="1:72" s="241" customFormat="1" x14ac:dyDescent="0.3">
      <c r="A22" s="238">
        <f t="shared" si="5"/>
        <v>10</v>
      </c>
      <c r="C22" s="244">
        <v>2</v>
      </c>
      <c r="D22" s="241" t="s">
        <v>165</v>
      </c>
      <c r="G22" s="242">
        <f>SUMIFS('[8]by Rate Code - Yr5'!$AJ:$AJ,'[8]by Rate Code - Yr5'!$A:$A,R22,'[8]by Rate Code - Yr5'!$D:$D,S22,'[8]by Rate Code - Yr5'!$E:$E,T22)</f>
        <v>247953.88259415171</v>
      </c>
      <c r="H22" s="245">
        <v>1</v>
      </c>
      <c r="I22" s="246">
        <f>I15</f>
        <v>0.99</v>
      </c>
      <c r="J22" s="242">
        <f>G22*H22*I22</f>
        <v>245474.34376821021</v>
      </c>
      <c r="K22" s="242">
        <f>J22</f>
        <v>245474.34376821021</v>
      </c>
      <c r="L22" s="242">
        <f>K22</f>
        <v>245474.34376821021</v>
      </c>
      <c r="M22" s="242">
        <v>0</v>
      </c>
      <c r="R22" s="247" t="s">
        <v>129</v>
      </c>
      <c r="S22" s="248" t="s">
        <v>165</v>
      </c>
      <c r="T22" s="248" t="s">
        <v>165</v>
      </c>
      <c r="Z22" s="243"/>
      <c r="AA22" s="238">
        <f t="shared" si="3"/>
        <v>10</v>
      </c>
      <c r="AC22" s="244">
        <v>2</v>
      </c>
      <c r="AD22" s="241" t="s">
        <v>165</v>
      </c>
      <c r="AG22" s="242">
        <f>SUMIFS('[8]by Rate Code - Yr4'!$AJ:$AJ,'[8]by Rate Code - Yr4'!$A:$A,AR22,'[8]by Rate Code - Yr4'!$D:$D,AS22,'[8]by Rate Code - Yr4'!$E:$E,AT22)</f>
        <v>246614.82063403868</v>
      </c>
      <c r="AH22" s="245">
        <v>1</v>
      </c>
      <c r="AI22" s="246">
        <f t="shared" si="8"/>
        <v>0.99</v>
      </c>
      <c r="AJ22" s="242">
        <f>AG22*AH22*AI22</f>
        <v>244148.6724276983</v>
      </c>
      <c r="AK22" s="242">
        <f>AJ22</f>
        <v>244148.6724276983</v>
      </c>
      <c r="AL22" s="242">
        <f>AK22</f>
        <v>244148.6724276983</v>
      </c>
      <c r="AM22" s="242">
        <v>0</v>
      </c>
      <c r="AR22" s="247" t="s">
        <v>129</v>
      </c>
      <c r="AS22" s="248" t="s">
        <v>165</v>
      </c>
      <c r="AT22" s="248" t="s">
        <v>165</v>
      </c>
      <c r="AZ22" s="243"/>
      <c r="BA22" s="238">
        <f t="shared" si="4"/>
        <v>10</v>
      </c>
      <c r="BC22" s="244">
        <v>2</v>
      </c>
      <c r="BD22" s="241" t="s">
        <v>165</v>
      </c>
      <c r="BG22" s="242">
        <f>SUMIFS('[8]by Rate Code - Yr3'!$AJ:$AJ,'[8]by Rate Code - Yr3'!$A:$A,BR22,'[8]by Rate Code - Yr3'!$D:$D,BS22,'[8]by Rate Code - Yr3'!$E:$E,BT22)</f>
        <v>244145.39835938043</v>
      </c>
      <c r="BH22" s="245">
        <v>1</v>
      </c>
      <c r="BI22" s="246">
        <f t="shared" si="9"/>
        <v>0.99</v>
      </c>
      <c r="BJ22" s="242">
        <f>BG22*BH22*BI22</f>
        <v>241703.94437578661</v>
      </c>
      <c r="BK22" s="242">
        <f>BJ22</f>
        <v>241703.94437578661</v>
      </c>
      <c r="BL22" s="242">
        <f>BK22</f>
        <v>241703.94437578661</v>
      </c>
      <c r="BM22" s="242">
        <v>0</v>
      </c>
      <c r="BR22" s="247" t="s">
        <v>129</v>
      </c>
      <c r="BS22" s="248" t="s">
        <v>165</v>
      </c>
      <c r="BT22" s="248" t="s">
        <v>165</v>
      </c>
    </row>
    <row r="23" spans="1:72" s="241" customFormat="1" x14ac:dyDescent="0.3">
      <c r="A23" s="238">
        <f t="shared" si="5"/>
        <v>11</v>
      </c>
      <c r="C23" s="244">
        <v>3</v>
      </c>
      <c r="D23" s="241" t="s">
        <v>167</v>
      </c>
      <c r="G23" s="242">
        <f>SUMIFS('[8]by Rate Code - Yr5'!$AJ:$AJ,'[8]by Rate Code - Yr5'!$A:$A,R23,'[8]by Rate Code - Yr5'!$D:$D,S23,'[8]by Rate Code - Yr5'!$E:$E,T23)</f>
        <v>0</v>
      </c>
      <c r="H23" s="245">
        <v>1</v>
      </c>
      <c r="I23" s="246">
        <f>I18</f>
        <v>1</v>
      </c>
      <c r="J23" s="242">
        <f>G23*H23*I23</f>
        <v>0</v>
      </c>
      <c r="K23" s="249">
        <f>J23</f>
        <v>0</v>
      </c>
      <c r="L23" s="249">
        <f>K23</f>
        <v>0</v>
      </c>
      <c r="M23" s="249">
        <f>J23</f>
        <v>0</v>
      </c>
      <c r="R23" s="247" t="s">
        <v>129</v>
      </c>
      <c r="S23" s="248" t="s">
        <v>221</v>
      </c>
      <c r="T23" s="248" t="s">
        <v>221</v>
      </c>
      <c r="Z23" s="243"/>
      <c r="AA23" s="238">
        <f t="shared" si="3"/>
        <v>11</v>
      </c>
      <c r="AC23" s="244">
        <v>3</v>
      </c>
      <c r="AD23" s="241" t="s">
        <v>167</v>
      </c>
      <c r="AG23" s="242">
        <f>SUMIFS('[8]by Rate Code - Yr4'!$AJ:$AJ,'[8]by Rate Code - Yr4'!$A:$A,AR23,'[8]by Rate Code - Yr4'!$D:$D,AS23,'[8]by Rate Code - Yr4'!$E:$E,AT23)</f>
        <v>0</v>
      </c>
      <c r="AH23" s="245">
        <v>1</v>
      </c>
      <c r="AI23" s="246">
        <f t="shared" si="8"/>
        <v>1</v>
      </c>
      <c r="AJ23" s="242">
        <f>AG23*AH23*AI23</f>
        <v>0</v>
      </c>
      <c r="AK23" s="249">
        <f>AJ23</f>
        <v>0</v>
      </c>
      <c r="AL23" s="249">
        <f>AK23</f>
        <v>0</v>
      </c>
      <c r="AM23" s="249">
        <f>AJ23</f>
        <v>0</v>
      </c>
      <c r="AR23" s="247" t="s">
        <v>129</v>
      </c>
      <c r="AS23" s="248" t="s">
        <v>221</v>
      </c>
      <c r="AT23" s="248" t="s">
        <v>221</v>
      </c>
      <c r="AZ23" s="243"/>
      <c r="BA23" s="238">
        <f t="shared" si="4"/>
        <v>11</v>
      </c>
      <c r="BC23" s="244">
        <v>3</v>
      </c>
      <c r="BD23" s="241" t="s">
        <v>167</v>
      </c>
      <c r="BG23" s="242">
        <f>SUMIFS('[8]by Rate Code - Yr3'!$AJ:$AJ,'[8]by Rate Code - Yr3'!$A:$A,BR23,'[8]by Rate Code - Yr3'!$D:$D,BS23,'[8]by Rate Code - Yr3'!$E:$E,BT23)</f>
        <v>0</v>
      </c>
      <c r="BH23" s="245">
        <v>1</v>
      </c>
      <c r="BI23" s="246">
        <f t="shared" si="9"/>
        <v>1</v>
      </c>
      <c r="BJ23" s="242">
        <f>BG23*BH23*BI23</f>
        <v>0</v>
      </c>
      <c r="BK23" s="249">
        <f>BJ23</f>
        <v>0</v>
      </c>
      <c r="BL23" s="249">
        <f>BK23</f>
        <v>0</v>
      </c>
      <c r="BM23" s="249">
        <f>BJ23</f>
        <v>0</v>
      </c>
      <c r="BR23" s="247" t="s">
        <v>129</v>
      </c>
      <c r="BS23" s="248" t="s">
        <v>221</v>
      </c>
      <c r="BT23" s="248" t="s">
        <v>221</v>
      </c>
    </row>
    <row r="24" spans="1:72" s="241" customFormat="1" x14ac:dyDescent="0.3">
      <c r="A24" s="238">
        <f t="shared" si="5"/>
        <v>12</v>
      </c>
      <c r="C24" s="241" t="s">
        <v>225</v>
      </c>
      <c r="G24" s="250">
        <f>SUM(G20:G23)</f>
        <v>247953.88259415171</v>
      </c>
      <c r="H24" s="242"/>
      <c r="I24" s="246"/>
      <c r="J24" s="242"/>
      <c r="K24" s="242">
        <f>SUM(K21:K23)</f>
        <v>245474.34376821021</v>
      </c>
      <c r="L24" s="242">
        <f>SUM(L21:L23)</f>
        <v>245474.34376821021</v>
      </c>
      <c r="M24" s="242">
        <f>SUM(M21:M23)</f>
        <v>0</v>
      </c>
      <c r="R24" s="247"/>
      <c r="S24" s="248"/>
      <c r="T24" s="248"/>
      <c r="Z24" s="243"/>
      <c r="AA24" s="238">
        <f t="shared" si="3"/>
        <v>12</v>
      </c>
      <c r="AC24" s="241" t="s">
        <v>225</v>
      </c>
      <c r="AG24" s="250">
        <f>SUM(AG20:AG23)</f>
        <v>246614.82063403868</v>
      </c>
      <c r="AH24" s="242"/>
      <c r="AI24" s="246"/>
      <c r="AJ24" s="242"/>
      <c r="AK24" s="242">
        <f>SUM(AK21:AK23)</f>
        <v>244148.6724276983</v>
      </c>
      <c r="AL24" s="242">
        <f>SUM(AL21:AL23)</f>
        <v>244148.6724276983</v>
      </c>
      <c r="AM24" s="242">
        <f>SUM(AM21:AM23)</f>
        <v>0</v>
      </c>
      <c r="AR24" s="247"/>
      <c r="AS24" s="248"/>
      <c r="AT24" s="248"/>
      <c r="AZ24" s="243"/>
      <c r="BA24" s="238">
        <f t="shared" si="4"/>
        <v>12</v>
      </c>
      <c r="BC24" s="241" t="s">
        <v>225</v>
      </c>
      <c r="BG24" s="250">
        <f>SUM(BG20:BG23)</f>
        <v>244145.39835938043</v>
      </c>
      <c r="BH24" s="242"/>
      <c r="BI24" s="246"/>
      <c r="BJ24" s="242"/>
      <c r="BK24" s="242">
        <f>SUM(BK21:BK23)</f>
        <v>241703.94437578661</v>
      </c>
      <c r="BL24" s="242">
        <f>SUM(BL21:BL23)</f>
        <v>241703.94437578661</v>
      </c>
      <c r="BM24" s="242">
        <f>SUM(BM21:BM23)</f>
        <v>0</v>
      </c>
      <c r="BR24" s="247"/>
      <c r="BS24" s="248"/>
      <c r="BT24" s="248"/>
    </row>
    <row r="25" spans="1:72" s="241" customFormat="1" x14ac:dyDescent="0.3">
      <c r="A25" s="238">
        <f t="shared" si="5"/>
        <v>13</v>
      </c>
      <c r="B25" s="239" t="s">
        <v>226</v>
      </c>
      <c r="C25" s="240" t="s">
        <v>180</v>
      </c>
      <c r="G25" s="242"/>
      <c r="H25" s="242"/>
      <c r="I25" s="246"/>
      <c r="J25" s="242"/>
      <c r="K25" s="242"/>
      <c r="L25" s="242"/>
      <c r="M25" s="242"/>
      <c r="R25" s="247"/>
      <c r="S25" s="248"/>
      <c r="T25" s="248"/>
      <c r="Z25" s="243"/>
      <c r="AA25" s="238">
        <f t="shared" si="3"/>
        <v>13</v>
      </c>
      <c r="AB25" s="239" t="s">
        <v>226</v>
      </c>
      <c r="AC25" s="240" t="s">
        <v>180</v>
      </c>
      <c r="AG25" s="242"/>
      <c r="AH25" s="242"/>
      <c r="AI25" s="246"/>
      <c r="AJ25" s="242"/>
      <c r="AK25" s="242"/>
      <c r="AL25" s="242"/>
      <c r="AM25" s="242"/>
      <c r="AR25" s="247"/>
      <c r="AS25" s="248"/>
      <c r="AT25" s="248"/>
      <c r="AZ25" s="243"/>
      <c r="BA25" s="238">
        <f t="shared" si="4"/>
        <v>13</v>
      </c>
      <c r="BB25" s="239" t="s">
        <v>226</v>
      </c>
      <c r="BC25" s="240" t="s">
        <v>180</v>
      </c>
      <c r="BG25" s="242"/>
      <c r="BH25" s="242"/>
      <c r="BI25" s="246"/>
      <c r="BJ25" s="242"/>
      <c r="BK25" s="242"/>
      <c r="BL25" s="242"/>
      <c r="BM25" s="242"/>
      <c r="BR25" s="247"/>
      <c r="BS25" s="248"/>
      <c r="BT25" s="248"/>
    </row>
    <row r="26" spans="1:72" s="241" customFormat="1" x14ac:dyDescent="0.3">
      <c r="A26" s="238">
        <f t="shared" si="5"/>
        <v>14</v>
      </c>
      <c r="C26" s="244">
        <v>1</v>
      </c>
      <c r="D26" s="241" t="s">
        <v>227</v>
      </c>
      <c r="G26" s="242">
        <f>SUMIFS('[8]by Rate Code - Yr5'!$AJ:$AJ,'[8]by Rate Code - Yr5'!$A:$A,R26,'[8]by Rate Code - Yr5'!$D:$D,S26,'[8]by Rate Code - Yr5'!$E:$E,T26)</f>
        <v>2488754.7358190552</v>
      </c>
      <c r="H26" s="245">
        <v>1</v>
      </c>
      <c r="I26" s="246">
        <f>I21</f>
        <v>0.98</v>
      </c>
      <c r="J26" s="242">
        <f t="shared" ref="J26:J32" si="10">G26*H26*I26</f>
        <v>2438979.641102674</v>
      </c>
      <c r="K26" s="242">
        <f t="shared" ref="K26:K32" si="11">J26</f>
        <v>2438979.641102674</v>
      </c>
      <c r="L26" s="242">
        <v>0</v>
      </c>
      <c r="M26" s="242">
        <v>0</v>
      </c>
      <c r="R26" s="247" t="s">
        <v>127</v>
      </c>
      <c r="S26" s="248" t="s">
        <v>219</v>
      </c>
      <c r="T26" s="248" t="s">
        <v>219</v>
      </c>
      <c r="Z26" s="243"/>
      <c r="AA26" s="238">
        <f t="shared" si="3"/>
        <v>14</v>
      </c>
      <c r="AC26" s="244">
        <v>1</v>
      </c>
      <c r="AD26" s="241" t="s">
        <v>227</v>
      </c>
      <c r="AG26" s="242">
        <f>SUMIFS('[8]by Rate Code - Yr4'!$AJ:$AJ,'[8]by Rate Code - Yr4'!$A:$A,AR26,'[8]by Rate Code - Yr4'!$D:$D,AS26,'[8]by Rate Code - Yr4'!$E:$E,AT26)</f>
        <v>2484557.5379352747</v>
      </c>
      <c r="AH26" s="245">
        <v>1</v>
      </c>
      <c r="AI26" s="246">
        <f t="shared" ref="AI26:AI32" si="12">+I26</f>
        <v>0.98</v>
      </c>
      <c r="AJ26" s="242">
        <f t="shared" ref="AJ26:AJ32" si="13">AG26*AH26*AI26</f>
        <v>2434866.3871765691</v>
      </c>
      <c r="AK26" s="242">
        <f t="shared" ref="AK26:AK32" si="14">AJ26</f>
        <v>2434866.3871765691</v>
      </c>
      <c r="AL26" s="242">
        <v>0</v>
      </c>
      <c r="AM26" s="242">
        <v>0</v>
      </c>
      <c r="AR26" s="247" t="s">
        <v>127</v>
      </c>
      <c r="AS26" s="248" t="s">
        <v>219</v>
      </c>
      <c r="AT26" s="248" t="s">
        <v>219</v>
      </c>
      <c r="AZ26" s="243"/>
      <c r="BA26" s="238">
        <f t="shared" si="4"/>
        <v>14</v>
      </c>
      <c r="BC26" s="244">
        <v>1</v>
      </c>
      <c r="BD26" s="241" t="s">
        <v>227</v>
      </c>
      <c r="BG26" s="242">
        <f>SUMIFS('[8]by Rate Code - Yr3'!$AJ:$AJ,'[8]by Rate Code - Yr3'!$A:$A,BR26,'[8]by Rate Code - Yr3'!$D:$D,BS26,'[8]by Rate Code - Yr3'!$E:$E,BT26)</f>
        <v>2452421.1703612003</v>
      </c>
      <c r="BH26" s="245">
        <v>1</v>
      </c>
      <c r="BI26" s="246">
        <f t="shared" ref="BI26:BI32" si="15">+AI26</f>
        <v>0.98</v>
      </c>
      <c r="BJ26" s="242">
        <f t="shared" ref="BJ26:BJ32" si="16">BG26*BH26*BI26</f>
        <v>2403372.7469539763</v>
      </c>
      <c r="BK26" s="242">
        <f t="shared" ref="BK26:BK32" si="17">BJ26</f>
        <v>2403372.7469539763</v>
      </c>
      <c r="BL26" s="242">
        <v>0</v>
      </c>
      <c r="BM26" s="242">
        <v>0</v>
      </c>
      <c r="BR26" s="247" t="s">
        <v>127</v>
      </c>
      <c r="BS26" s="248" t="s">
        <v>219</v>
      </c>
      <c r="BT26" s="248" t="s">
        <v>219</v>
      </c>
    </row>
    <row r="27" spans="1:72" s="241" customFormat="1" x14ac:dyDescent="0.3">
      <c r="A27" s="238">
        <f t="shared" si="5"/>
        <v>15</v>
      </c>
      <c r="C27" s="244">
        <v>2</v>
      </c>
      <c r="D27" s="241" t="s">
        <v>228</v>
      </c>
      <c r="G27" s="242">
        <f>SUMIFS('[8]by Rate Code - Yr5'!$AJ:$AJ,'[8]by Rate Code - Yr5'!$A:$A,R27,'[8]by Rate Code - Yr5'!$D:$D,S27,'[8]by Rate Code - Yr5'!$E:$E,T27)</f>
        <v>464281.77809091395</v>
      </c>
      <c r="H27" s="245">
        <v>1</v>
      </c>
      <c r="I27" s="246">
        <f>+I21</f>
        <v>0.98</v>
      </c>
      <c r="J27" s="242">
        <f t="shared" si="10"/>
        <v>454996.14252909564</v>
      </c>
      <c r="K27" s="242">
        <f t="shared" si="11"/>
        <v>454996.14252909564</v>
      </c>
      <c r="L27" s="242">
        <v>0</v>
      </c>
      <c r="M27" s="242">
        <v>0</v>
      </c>
      <c r="R27" s="247" t="s">
        <v>127</v>
      </c>
      <c r="S27" s="248" t="s">
        <v>229</v>
      </c>
      <c r="T27" s="248" t="s">
        <v>229</v>
      </c>
      <c r="Z27" s="243"/>
      <c r="AA27" s="238">
        <f t="shared" si="3"/>
        <v>15</v>
      </c>
      <c r="AC27" s="244">
        <v>2</v>
      </c>
      <c r="AD27" s="241" t="s">
        <v>228</v>
      </c>
      <c r="AG27" s="242">
        <f>SUMIFS('[8]by Rate Code - Yr4'!$AJ:$AJ,'[8]by Rate Code - Yr4'!$A:$A,AR27,'[8]by Rate Code - Yr4'!$D:$D,AS27,'[8]by Rate Code - Yr4'!$E:$E,AT27)</f>
        <v>463498.78309810295</v>
      </c>
      <c r="AH27" s="245">
        <v>1</v>
      </c>
      <c r="AI27" s="246">
        <f t="shared" si="12"/>
        <v>0.98</v>
      </c>
      <c r="AJ27" s="242">
        <f t="shared" si="13"/>
        <v>454228.80743614089</v>
      </c>
      <c r="AK27" s="242">
        <f t="shared" si="14"/>
        <v>454228.80743614089</v>
      </c>
      <c r="AL27" s="242">
        <v>0</v>
      </c>
      <c r="AM27" s="242">
        <v>0</v>
      </c>
      <c r="AR27" s="247" t="s">
        <v>127</v>
      </c>
      <c r="AS27" s="248" t="s">
        <v>229</v>
      </c>
      <c r="AT27" s="248" t="s">
        <v>229</v>
      </c>
      <c r="AZ27" s="243"/>
      <c r="BA27" s="238">
        <f t="shared" si="4"/>
        <v>15</v>
      </c>
      <c r="BC27" s="244">
        <v>2</v>
      </c>
      <c r="BD27" s="241" t="s">
        <v>228</v>
      </c>
      <c r="BG27" s="242">
        <f>SUMIFS('[8]by Rate Code - Yr3'!$AJ:$AJ,'[8]by Rate Code - Yr3'!$A:$A,BR27,'[8]by Rate Code - Yr3'!$D:$D,BS27,'[8]by Rate Code - Yr3'!$E:$E,BT27)</f>
        <v>457503.68455989187</v>
      </c>
      <c r="BH27" s="245">
        <v>1</v>
      </c>
      <c r="BI27" s="246">
        <f t="shared" si="15"/>
        <v>0.98</v>
      </c>
      <c r="BJ27" s="242">
        <f t="shared" si="16"/>
        <v>448353.61086869403</v>
      </c>
      <c r="BK27" s="242">
        <f t="shared" si="17"/>
        <v>448353.61086869403</v>
      </c>
      <c r="BL27" s="242">
        <v>0</v>
      </c>
      <c r="BM27" s="242">
        <v>0</v>
      </c>
      <c r="BR27" s="247" t="s">
        <v>127</v>
      </c>
      <c r="BS27" s="248" t="s">
        <v>229</v>
      </c>
      <c r="BT27" s="248" t="s">
        <v>229</v>
      </c>
    </row>
    <row r="28" spans="1:72" s="241" customFormat="1" x14ac:dyDescent="0.3">
      <c r="A28" s="238">
        <f t="shared" si="5"/>
        <v>16</v>
      </c>
      <c r="C28" s="244">
        <v>3</v>
      </c>
      <c r="D28" s="241" t="s">
        <v>230</v>
      </c>
      <c r="G28" s="242">
        <f>SUMIFS('[8]by Rate Code - Yr5'!$AJ:$AJ,'[8]by Rate Code - Yr5'!$A:$A,R28,'[8]by Rate Code - Yr5'!$D:$D,S28,'[8]by Rate Code - Yr5'!$E:$E,T28)</f>
        <v>732582.69831547886</v>
      </c>
      <c r="H28" s="245">
        <v>1</v>
      </c>
      <c r="I28" s="246">
        <f>I15</f>
        <v>0.99</v>
      </c>
      <c r="J28" s="242">
        <f t="shared" si="10"/>
        <v>725256.87133232411</v>
      </c>
      <c r="K28" s="242">
        <f t="shared" si="11"/>
        <v>725256.87133232411</v>
      </c>
      <c r="L28" s="242">
        <v>0</v>
      </c>
      <c r="M28" s="242">
        <v>0</v>
      </c>
      <c r="R28" s="247" t="s">
        <v>127</v>
      </c>
      <c r="S28" s="248" t="s">
        <v>219</v>
      </c>
      <c r="T28" s="248" t="s">
        <v>165</v>
      </c>
      <c r="Z28" s="243"/>
      <c r="AA28" s="238">
        <f t="shared" si="3"/>
        <v>16</v>
      </c>
      <c r="AC28" s="244">
        <v>3</v>
      </c>
      <c r="AD28" s="241" t="s">
        <v>230</v>
      </c>
      <c r="AG28" s="242">
        <f>SUMIFS('[8]by Rate Code - Yr4'!$AJ:$AJ,'[8]by Rate Code - Yr4'!$A:$A,AR28,'[8]by Rate Code - Yr4'!$D:$D,AS28,'[8]by Rate Code - Yr4'!$E:$E,AT28)</f>
        <v>731347.22319741664</v>
      </c>
      <c r="AH28" s="245">
        <v>1</v>
      </c>
      <c r="AI28" s="246">
        <f t="shared" si="12"/>
        <v>0.99</v>
      </c>
      <c r="AJ28" s="242">
        <f t="shared" si="13"/>
        <v>724033.75096544251</v>
      </c>
      <c r="AK28" s="242">
        <f t="shared" si="14"/>
        <v>724033.75096544251</v>
      </c>
      <c r="AL28" s="242">
        <v>0</v>
      </c>
      <c r="AM28" s="242">
        <v>0</v>
      </c>
      <c r="AR28" s="247" t="s">
        <v>127</v>
      </c>
      <c r="AS28" s="248" t="s">
        <v>219</v>
      </c>
      <c r="AT28" s="248" t="s">
        <v>165</v>
      </c>
      <c r="AZ28" s="243"/>
      <c r="BA28" s="238">
        <f t="shared" si="4"/>
        <v>16</v>
      </c>
      <c r="BC28" s="244">
        <v>3</v>
      </c>
      <c r="BD28" s="241" t="s">
        <v>230</v>
      </c>
      <c r="BG28" s="242">
        <f>SUMIFS('[8]by Rate Code - Yr3'!$AJ:$AJ,'[8]by Rate Code - Yr3'!$A:$A,BR28,'[8]by Rate Code - Yr3'!$D:$D,BS28,'[8]by Rate Code - Yr3'!$E:$E,BT28)</f>
        <v>721887.65430834901</v>
      </c>
      <c r="BH28" s="245">
        <v>1</v>
      </c>
      <c r="BI28" s="246">
        <f t="shared" si="15"/>
        <v>0.99</v>
      </c>
      <c r="BJ28" s="242">
        <f t="shared" si="16"/>
        <v>714668.77776526555</v>
      </c>
      <c r="BK28" s="242">
        <f t="shared" si="17"/>
        <v>714668.77776526555</v>
      </c>
      <c r="BL28" s="242">
        <v>0</v>
      </c>
      <c r="BM28" s="242">
        <v>0</v>
      </c>
      <c r="BR28" s="247" t="s">
        <v>127</v>
      </c>
      <c r="BS28" s="248" t="s">
        <v>219</v>
      </c>
      <c r="BT28" s="248" t="s">
        <v>165</v>
      </c>
    </row>
    <row r="29" spans="1:72" s="241" customFormat="1" x14ac:dyDescent="0.3">
      <c r="A29" s="238">
        <f t="shared" si="5"/>
        <v>17</v>
      </c>
      <c r="C29" s="244">
        <v>4</v>
      </c>
      <c r="D29" s="241" t="s">
        <v>231</v>
      </c>
      <c r="G29" s="242">
        <f>SUMIFS('[8]by Rate Code - Yr5'!$AJ:$AJ,'[8]by Rate Code - Yr5'!$A:$A,R29,'[8]by Rate Code - Yr5'!$D:$D,S29,'[8]by Rate Code - Yr5'!$E:$E,T29)</f>
        <v>0</v>
      </c>
      <c r="H29" s="245">
        <v>1</v>
      </c>
      <c r="I29" s="246">
        <f>I21</f>
        <v>0.98</v>
      </c>
      <c r="J29" s="242">
        <f t="shared" si="10"/>
        <v>0</v>
      </c>
      <c r="K29" s="242">
        <f t="shared" si="11"/>
        <v>0</v>
      </c>
      <c r="L29" s="242">
        <f>K29</f>
        <v>0</v>
      </c>
      <c r="M29" s="242">
        <v>0</v>
      </c>
      <c r="R29" s="247" t="s">
        <v>127</v>
      </c>
      <c r="S29" s="248" t="s">
        <v>165</v>
      </c>
      <c r="T29" s="248" t="s">
        <v>219</v>
      </c>
      <c r="Z29" s="243"/>
      <c r="AA29" s="238">
        <f t="shared" si="3"/>
        <v>17</v>
      </c>
      <c r="AC29" s="244">
        <v>4</v>
      </c>
      <c r="AD29" s="241" t="s">
        <v>231</v>
      </c>
      <c r="AG29" s="242">
        <f>SUMIFS('[8]by Rate Code - Yr4'!$AJ:$AJ,'[8]by Rate Code - Yr4'!$A:$A,AR29,'[8]by Rate Code - Yr4'!$D:$D,AS29,'[8]by Rate Code - Yr4'!$E:$E,AT29)</f>
        <v>0</v>
      </c>
      <c r="AH29" s="245">
        <v>1</v>
      </c>
      <c r="AI29" s="246">
        <f t="shared" si="12"/>
        <v>0.98</v>
      </c>
      <c r="AJ29" s="242">
        <f t="shared" si="13"/>
        <v>0</v>
      </c>
      <c r="AK29" s="242">
        <f t="shared" si="14"/>
        <v>0</v>
      </c>
      <c r="AL29" s="242">
        <f>AK29</f>
        <v>0</v>
      </c>
      <c r="AM29" s="242">
        <v>0</v>
      </c>
      <c r="AR29" s="247" t="s">
        <v>127</v>
      </c>
      <c r="AS29" s="248" t="s">
        <v>165</v>
      </c>
      <c r="AT29" s="248" t="s">
        <v>219</v>
      </c>
      <c r="AZ29" s="243"/>
      <c r="BA29" s="238">
        <f t="shared" si="4"/>
        <v>17</v>
      </c>
      <c r="BC29" s="244">
        <v>4</v>
      </c>
      <c r="BD29" s="241" t="s">
        <v>231</v>
      </c>
      <c r="BG29" s="242">
        <f>SUMIFS('[8]by Rate Code - Yr3'!$AJ:$AJ,'[8]by Rate Code - Yr3'!$A:$A,BR29,'[8]by Rate Code - Yr3'!$D:$D,BS29,'[8]by Rate Code - Yr3'!$E:$E,BT29)</f>
        <v>0</v>
      </c>
      <c r="BH29" s="245">
        <v>1</v>
      </c>
      <c r="BI29" s="246">
        <f t="shared" si="15"/>
        <v>0.98</v>
      </c>
      <c r="BJ29" s="242">
        <f t="shared" si="16"/>
        <v>0</v>
      </c>
      <c r="BK29" s="242">
        <f t="shared" si="17"/>
        <v>0</v>
      </c>
      <c r="BL29" s="242">
        <f>BK29</f>
        <v>0</v>
      </c>
      <c r="BM29" s="242">
        <v>0</v>
      </c>
      <c r="BR29" s="247" t="s">
        <v>127</v>
      </c>
      <c r="BS29" s="248" t="s">
        <v>165</v>
      </c>
      <c r="BT29" s="248" t="s">
        <v>219</v>
      </c>
    </row>
    <row r="30" spans="1:72" s="241" customFormat="1" x14ac:dyDescent="0.3">
      <c r="A30" s="238">
        <f t="shared" si="5"/>
        <v>18</v>
      </c>
      <c r="C30" s="244">
        <v>5</v>
      </c>
      <c r="D30" s="241" t="s">
        <v>165</v>
      </c>
      <c r="G30" s="242">
        <f>SUMIFS('[8]by Rate Code - Yr5'!$AJ:$AJ,'[8]by Rate Code - Yr5'!$A:$A,R30,'[8]by Rate Code - Yr5'!$D:$D,S30,'[8]by Rate Code - Yr5'!$E:$E,T30)</f>
        <v>3025570.4300323026</v>
      </c>
      <c r="H30" s="245">
        <v>1</v>
      </c>
      <c r="I30" s="246">
        <f>I15</f>
        <v>0.99</v>
      </c>
      <c r="J30" s="242">
        <f t="shared" si="10"/>
        <v>2995314.7257319796</v>
      </c>
      <c r="K30" s="242">
        <f t="shared" si="11"/>
        <v>2995314.7257319796</v>
      </c>
      <c r="L30" s="242">
        <f>K30</f>
        <v>2995314.7257319796</v>
      </c>
      <c r="M30" s="242">
        <v>0</v>
      </c>
      <c r="R30" s="247" t="s">
        <v>127</v>
      </c>
      <c r="S30" s="248" t="s">
        <v>165</v>
      </c>
      <c r="T30" s="248" t="s">
        <v>165</v>
      </c>
      <c r="Z30" s="243"/>
      <c r="AA30" s="238">
        <f t="shared" si="3"/>
        <v>18</v>
      </c>
      <c r="AC30" s="244">
        <v>5</v>
      </c>
      <c r="AD30" s="241" t="s">
        <v>165</v>
      </c>
      <c r="AG30" s="242">
        <f>SUMIFS('[8]by Rate Code - Yr4'!$AJ:$AJ,'[8]by Rate Code - Yr4'!$A:$A,AR30,'[8]by Rate Code - Yr4'!$D:$D,AS30,'[8]by Rate Code - Yr4'!$E:$E,AT30)</f>
        <v>3020467.9112411202</v>
      </c>
      <c r="AH30" s="245">
        <v>1</v>
      </c>
      <c r="AI30" s="246">
        <f t="shared" si="12"/>
        <v>0.99</v>
      </c>
      <c r="AJ30" s="242">
        <f t="shared" si="13"/>
        <v>2990263.2321287091</v>
      </c>
      <c r="AK30" s="242">
        <f t="shared" si="14"/>
        <v>2990263.2321287091</v>
      </c>
      <c r="AL30" s="242">
        <f>AK30</f>
        <v>2990263.2321287091</v>
      </c>
      <c r="AM30" s="242">
        <v>0</v>
      </c>
      <c r="AR30" s="247" t="s">
        <v>127</v>
      </c>
      <c r="AS30" s="248" t="s">
        <v>165</v>
      </c>
      <c r="AT30" s="248" t="s">
        <v>165</v>
      </c>
      <c r="AZ30" s="243"/>
      <c r="BA30" s="238">
        <f t="shared" si="4"/>
        <v>18</v>
      </c>
      <c r="BC30" s="244">
        <v>5</v>
      </c>
      <c r="BD30" s="241" t="s">
        <v>165</v>
      </c>
      <c r="BG30" s="242">
        <f>SUMIFS('[8]by Rate Code - Yr3'!$AJ:$AJ,'[8]by Rate Code - Yr3'!$A:$A,BR30,'[8]by Rate Code - Yr3'!$D:$D,BS30,'[8]by Rate Code - Yr3'!$E:$E,BT30)</f>
        <v>2981399.8415509299</v>
      </c>
      <c r="BH30" s="245">
        <v>1</v>
      </c>
      <c r="BI30" s="246">
        <f t="shared" si="15"/>
        <v>0.99</v>
      </c>
      <c r="BJ30" s="242">
        <f t="shared" si="16"/>
        <v>2951585.8431354207</v>
      </c>
      <c r="BK30" s="242">
        <f t="shared" si="17"/>
        <v>2951585.8431354207</v>
      </c>
      <c r="BL30" s="242">
        <f>BK30</f>
        <v>2951585.8431354207</v>
      </c>
      <c r="BM30" s="242">
        <v>0</v>
      </c>
      <c r="BR30" s="247" t="s">
        <v>127</v>
      </c>
      <c r="BS30" s="248" t="s">
        <v>165</v>
      </c>
      <c r="BT30" s="248" t="s">
        <v>165</v>
      </c>
    </row>
    <row r="31" spans="1:72" s="241" customFormat="1" x14ac:dyDescent="0.3">
      <c r="A31" s="238">
        <f t="shared" si="5"/>
        <v>19</v>
      </c>
      <c r="C31" s="244">
        <v>6</v>
      </c>
      <c r="D31" s="241" t="s">
        <v>222</v>
      </c>
      <c r="G31" s="242">
        <f>SUMIFS('[8]by Rate Code - Yr5'!$AJ:$AJ,'[8]by Rate Code - Yr5'!$A:$A,R31,'[8]by Rate Code - Yr5'!$D:$D,S31,'[8]by Rate Code - Yr5'!$E:$E,T31)</f>
        <v>0</v>
      </c>
      <c r="H31" s="245">
        <v>1</v>
      </c>
      <c r="I31" s="246">
        <f>I15</f>
        <v>0.99</v>
      </c>
      <c r="J31" s="242">
        <f t="shared" si="10"/>
        <v>0</v>
      </c>
      <c r="K31" s="242">
        <f t="shared" si="11"/>
        <v>0</v>
      </c>
      <c r="L31" s="242">
        <f>K31</f>
        <v>0</v>
      </c>
      <c r="M31" s="242">
        <f>J31</f>
        <v>0</v>
      </c>
      <c r="R31" s="247" t="s">
        <v>127</v>
      </c>
      <c r="S31" s="248" t="s">
        <v>221</v>
      </c>
      <c r="T31" s="248" t="s">
        <v>165</v>
      </c>
      <c r="Z31" s="243"/>
      <c r="AA31" s="238">
        <f t="shared" si="3"/>
        <v>19</v>
      </c>
      <c r="AC31" s="244">
        <v>6</v>
      </c>
      <c r="AD31" s="241" t="s">
        <v>222</v>
      </c>
      <c r="AG31" s="242">
        <f>SUMIFS('[8]by Rate Code - Yr4'!$AJ:$AJ,'[8]by Rate Code - Yr4'!$A:$A,AR31,'[8]by Rate Code - Yr4'!$D:$D,AS31,'[8]by Rate Code - Yr4'!$E:$E,AT31)</f>
        <v>0</v>
      </c>
      <c r="AH31" s="245">
        <v>1</v>
      </c>
      <c r="AI31" s="246">
        <f t="shared" si="12"/>
        <v>0.99</v>
      </c>
      <c r="AJ31" s="242">
        <f t="shared" si="13"/>
        <v>0</v>
      </c>
      <c r="AK31" s="242">
        <f t="shared" si="14"/>
        <v>0</v>
      </c>
      <c r="AL31" s="242">
        <f>AK31</f>
        <v>0</v>
      </c>
      <c r="AM31" s="242">
        <f>AJ31</f>
        <v>0</v>
      </c>
      <c r="AR31" s="247" t="s">
        <v>127</v>
      </c>
      <c r="AS31" s="248" t="s">
        <v>221</v>
      </c>
      <c r="AT31" s="248" t="s">
        <v>165</v>
      </c>
      <c r="AZ31" s="243"/>
      <c r="BA31" s="238">
        <f t="shared" si="4"/>
        <v>19</v>
      </c>
      <c r="BC31" s="244">
        <v>6</v>
      </c>
      <c r="BD31" s="241" t="s">
        <v>222</v>
      </c>
      <c r="BG31" s="242">
        <f>SUMIFS('[8]by Rate Code - Yr3'!$AJ:$AJ,'[8]by Rate Code - Yr3'!$A:$A,BR31,'[8]by Rate Code - Yr3'!$D:$D,BS31,'[8]by Rate Code - Yr3'!$E:$E,BT31)</f>
        <v>0</v>
      </c>
      <c r="BH31" s="245">
        <v>1</v>
      </c>
      <c r="BI31" s="246">
        <f t="shared" si="15"/>
        <v>0.99</v>
      </c>
      <c r="BJ31" s="242">
        <f t="shared" si="16"/>
        <v>0</v>
      </c>
      <c r="BK31" s="242">
        <f t="shared" si="17"/>
        <v>0</v>
      </c>
      <c r="BL31" s="242">
        <f>BK31</f>
        <v>0</v>
      </c>
      <c r="BM31" s="242">
        <f>BJ31</f>
        <v>0</v>
      </c>
      <c r="BR31" s="247" t="s">
        <v>127</v>
      </c>
      <c r="BS31" s="248" t="s">
        <v>221</v>
      </c>
      <c r="BT31" s="248" t="s">
        <v>165</v>
      </c>
    </row>
    <row r="32" spans="1:72" s="241" customFormat="1" x14ac:dyDescent="0.3">
      <c r="A32" s="238">
        <f t="shared" si="5"/>
        <v>20</v>
      </c>
      <c r="C32" s="244">
        <v>7</v>
      </c>
      <c r="D32" s="241" t="s">
        <v>167</v>
      </c>
      <c r="G32" s="242">
        <f>SUMIFS('[8]by Rate Code - Yr5'!$AJ:$AJ,'[8]by Rate Code - Yr5'!$A:$A,R32,'[8]by Rate Code - Yr5'!$D:$D,S32,'[8]by Rate Code - Yr5'!$E:$E,T32)</f>
        <v>814009.41137036704</v>
      </c>
      <c r="H32" s="245">
        <v>1</v>
      </c>
      <c r="I32" s="246">
        <f>I18</f>
        <v>1</v>
      </c>
      <c r="J32" s="242">
        <f t="shared" si="10"/>
        <v>814009.41137036704</v>
      </c>
      <c r="K32" s="249">
        <f t="shared" si="11"/>
        <v>814009.41137036704</v>
      </c>
      <c r="L32" s="249">
        <f>K32</f>
        <v>814009.41137036704</v>
      </c>
      <c r="M32" s="249">
        <f>J32</f>
        <v>814009.41137036704</v>
      </c>
      <c r="R32" s="247" t="s">
        <v>127</v>
      </c>
      <c r="S32" s="248" t="s">
        <v>221</v>
      </c>
      <c r="T32" s="248" t="s">
        <v>221</v>
      </c>
      <c r="Z32" s="243"/>
      <c r="AA32" s="238">
        <f t="shared" si="3"/>
        <v>20</v>
      </c>
      <c r="AC32" s="244">
        <v>7</v>
      </c>
      <c r="AD32" s="241" t="s">
        <v>167</v>
      </c>
      <c r="AG32" s="242">
        <f>SUMIFS('[8]by Rate Code - Yr4'!$AJ:$AJ,'[8]by Rate Code - Yr4'!$A:$A,AR32,'[8]by Rate Code - Yr4'!$D:$D,AS32,'[8]by Rate Code - Yr4'!$E:$E,AT32)</f>
        <v>812636.61294647702</v>
      </c>
      <c r="AH32" s="245">
        <v>1</v>
      </c>
      <c r="AI32" s="246">
        <f t="shared" si="12"/>
        <v>1</v>
      </c>
      <c r="AJ32" s="242">
        <f t="shared" si="13"/>
        <v>812636.61294647702</v>
      </c>
      <c r="AK32" s="249">
        <f t="shared" si="14"/>
        <v>812636.61294647702</v>
      </c>
      <c r="AL32" s="249">
        <f>AK32</f>
        <v>812636.61294647702</v>
      </c>
      <c r="AM32" s="249">
        <f>AJ32</f>
        <v>812636.61294647702</v>
      </c>
      <c r="AR32" s="247" t="s">
        <v>127</v>
      </c>
      <c r="AS32" s="248" t="s">
        <v>221</v>
      </c>
      <c r="AT32" s="248" t="s">
        <v>221</v>
      </c>
      <c r="AZ32" s="243"/>
      <c r="BA32" s="238">
        <f t="shared" si="4"/>
        <v>20</v>
      </c>
      <c r="BC32" s="244">
        <v>7</v>
      </c>
      <c r="BD32" s="241" t="s">
        <v>167</v>
      </c>
      <c r="BG32" s="242">
        <f>SUMIFS('[8]by Rate Code - Yr3'!$AJ:$AJ,'[8]by Rate Code - Yr3'!$A:$A,BR32,'[8]by Rate Code - Yr3'!$D:$D,BS32,'[8]by Rate Code - Yr3'!$E:$E,BT32)</f>
        <v>802125.61108837486</v>
      </c>
      <c r="BH32" s="245">
        <v>1</v>
      </c>
      <c r="BI32" s="246">
        <f t="shared" si="15"/>
        <v>1</v>
      </c>
      <c r="BJ32" s="242">
        <f t="shared" si="16"/>
        <v>802125.61108837486</v>
      </c>
      <c r="BK32" s="249">
        <f t="shared" si="17"/>
        <v>802125.61108837486</v>
      </c>
      <c r="BL32" s="249">
        <f>BK32</f>
        <v>802125.61108837486</v>
      </c>
      <c r="BM32" s="249">
        <f>BJ32</f>
        <v>802125.61108837486</v>
      </c>
      <c r="BR32" s="247" t="s">
        <v>127</v>
      </c>
      <c r="BS32" s="248" t="s">
        <v>221</v>
      </c>
      <c r="BT32" s="248" t="s">
        <v>221</v>
      </c>
    </row>
    <row r="33" spans="1:72" s="241" customFormat="1" x14ac:dyDescent="0.3">
      <c r="A33" s="238">
        <f t="shared" si="5"/>
        <v>21</v>
      </c>
      <c r="C33" s="241" t="s">
        <v>232</v>
      </c>
      <c r="G33" s="250">
        <f>SUM(G26:G32)</f>
        <v>7525199.0536281168</v>
      </c>
      <c r="H33" s="242"/>
      <c r="I33" s="246"/>
      <c r="J33" s="242"/>
      <c r="K33" s="242">
        <f>SUM(K26:K32)</f>
        <v>7428556.79206644</v>
      </c>
      <c r="L33" s="242">
        <f>SUM(L26:L32)</f>
        <v>3809324.1371023469</v>
      </c>
      <c r="M33" s="242">
        <f>SUM(M26:M32)</f>
        <v>814009.41137036704</v>
      </c>
      <c r="R33" s="251"/>
      <c r="S33" s="252"/>
      <c r="T33" s="252"/>
      <c r="Z33" s="243"/>
      <c r="AA33" s="238">
        <f t="shared" si="3"/>
        <v>21</v>
      </c>
      <c r="AC33" s="241" t="s">
        <v>232</v>
      </c>
      <c r="AG33" s="250">
        <f>SUM(AG26:AG32)</f>
        <v>7512508.068418391</v>
      </c>
      <c r="AH33" s="242"/>
      <c r="AI33" s="246"/>
      <c r="AJ33" s="242"/>
      <c r="AK33" s="242">
        <f>SUM(AK26:AK32)</f>
        <v>7416028.7906533387</v>
      </c>
      <c r="AL33" s="242">
        <f>SUM(AL26:AL32)</f>
        <v>3802899.8450751863</v>
      </c>
      <c r="AM33" s="242">
        <f>SUM(AM26:AM32)</f>
        <v>812636.61294647702</v>
      </c>
      <c r="AR33" s="251"/>
      <c r="AS33" s="252"/>
      <c r="AT33" s="252"/>
      <c r="AZ33" s="243"/>
      <c r="BA33" s="238">
        <f t="shared" si="4"/>
        <v>21</v>
      </c>
      <c r="BC33" s="241" t="s">
        <v>232</v>
      </c>
      <c r="BG33" s="250">
        <f>SUM(BG26:BG32)</f>
        <v>7415337.9618687462</v>
      </c>
      <c r="BH33" s="242"/>
      <c r="BI33" s="246"/>
      <c r="BJ33" s="242"/>
      <c r="BK33" s="242">
        <f>SUM(BK26:BK32)</f>
        <v>7320106.5898117311</v>
      </c>
      <c r="BL33" s="242">
        <f>SUM(BL26:BL32)</f>
        <v>3753711.4542237958</v>
      </c>
      <c r="BM33" s="242">
        <f>SUM(BM26:BM32)</f>
        <v>802125.61108837486</v>
      </c>
      <c r="BR33" s="251"/>
      <c r="BS33" s="252"/>
      <c r="BT33" s="252"/>
    </row>
    <row r="34" spans="1:72" s="241" customFormat="1" x14ac:dyDescent="0.25">
      <c r="A34" s="238">
        <f t="shared" si="5"/>
        <v>22</v>
      </c>
      <c r="B34" s="239" t="s">
        <v>233</v>
      </c>
      <c r="C34" s="240" t="s">
        <v>184</v>
      </c>
      <c r="G34" s="242"/>
      <c r="H34" s="242"/>
      <c r="I34" s="246"/>
      <c r="J34" s="242"/>
      <c r="K34" s="242"/>
      <c r="L34" s="242"/>
      <c r="M34" s="242"/>
      <c r="Z34" s="243"/>
      <c r="AA34" s="238">
        <f t="shared" si="3"/>
        <v>22</v>
      </c>
      <c r="AB34" s="239" t="s">
        <v>233</v>
      </c>
      <c r="AC34" s="240" t="s">
        <v>184</v>
      </c>
      <c r="AG34" s="242"/>
      <c r="AH34" s="242"/>
      <c r="AI34" s="246"/>
      <c r="AJ34" s="242"/>
      <c r="AK34" s="242"/>
      <c r="AL34" s="242"/>
      <c r="AM34" s="242"/>
      <c r="AZ34" s="243"/>
      <c r="BA34" s="238">
        <f t="shared" si="4"/>
        <v>22</v>
      </c>
      <c r="BB34" s="239" t="s">
        <v>233</v>
      </c>
      <c r="BC34" s="240" t="s">
        <v>184</v>
      </c>
      <c r="BG34" s="242"/>
      <c r="BH34" s="242"/>
      <c r="BI34" s="246"/>
      <c r="BJ34" s="242"/>
      <c r="BK34" s="242"/>
      <c r="BL34" s="242"/>
      <c r="BM34" s="242"/>
    </row>
    <row r="35" spans="1:72" s="241" customFormat="1" x14ac:dyDescent="0.25">
      <c r="A35" s="238">
        <f t="shared" si="5"/>
        <v>23</v>
      </c>
      <c r="B35" s="253"/>
      <c r="C35" s="241" t="s">
        <v>234</v>
      </c>
      <c r="G35" s="242"/>
      <c r="H35" s="242"/>
      <c r="I35" s="246"/>
      <c r="J35" s="242"/>
      <c r="K35" s="242"/>
      <c r="L35" s="242"/>
      <c r="M35" s="242"/>
      <c r="Z35" s="243"/>
      <c r="AA35" s="238">
        <f t="shared" si="3"/>
        <v>23</v>
      </c>
      <c r="AB35" s="253"/>
      <c r="AC35" s="241" t="s">
        <v>234</v>
      </c>
      <c r="AG35" s="242"/>
      <c r="AH35" s="242"/>
      <c r="AI35" s="246"/>
      <c r="AJ35" s="242"/>
      <c r="AK35" s="242"/>
      <c r="AL35" s="242"/>
      <c r="AM35" s="242"/>
      <c r="AZ35" s="243"/>
      <c r="BA35" s="238">
        <f t="shared" si="4"/>
        <v>23</v>
      </c>
      <c r="BB35" s="253"/>
      <c r="BC35" s="241" t="s">
        <v>234</v>
      </c>
      <c r="BG35" s="242"/>
      <c r="BH35" s="242"/>
      <c r="BI35" s="246"/>
      <c r="BJ35" s="242"/>
      <c r="BK35" s="242"/>
      <c r="BL35" s="242"/>
      <c r="BM35" s="242"/>
    </row>
    <row r="36" spans="1:72" s="241" customFormat="1" x14ac:dyDescent="0.3">
      <c r="A36" s="238">
        <f t="shared" si="5"/>
        <v>24</v>
      </c>
      <c r="C36" s="244">
        <v>1</v>
      </c>
      <c r="D36" s="241" t="s">
        <v>64</v>
      </c>
      <c r="G36" s="242">
        <f>+'[8]E13c - Yr5'!$D$630</f>
        <v>253432</v>
      </c>
      <c r="H36" s="246">
        <v>0.1</v>
      </c>
      <c r="I36" s="246">
        <f>I21</f>
        <v>0.98</v>
      </c>
      <c r="J36" s="242">
        <f>G36*H36*I36</f>
        <v>24836.335999999999</v>
      </c>
      <c r="K36" s="242">
        <f>J36</f>
        <v>24836.335999999999</v>
      </c>
      <c r="L36" s="242">
        <v>0</v>
      </c>
      <c r="M36" s="242">
        <v>0</v>
      </c>
      <c r="R36" s="254"/>
      <c r="S36" s="252"/>
      <c r="T36" s="252"/>
      <c r="Z36" s="243"/>
      <c r="AA36" s="238">
        <f t="shared" si="3"/>
        <v>24</v>
      </c>
      <c r="AC36" s="244">
        <v>1</v>
      </c>
      <c r="AD36" s="241" t="s">
        <v>64</v>
      </c>
      <c r="AG36" s="242">
        <f>+'[8]E13c - Yr4'!$D$630</f>
        <v>253432</v>
      </c>
      <c r="AH36" s="246">
        <v>0.1</v>
      </c>
      <c r="AI36" s="246">
        <f t="shared" ref="AI36:AI38" si="18">+I36</f>
        <v>0.98</v>
      </c>
      <c r="AJ36" s="242">
        <f>AG36*AH36*AI36</f>
        <v>24836.335999999999</v>
      </c>
      <c r="AK36" s="242">
        <f>AJ36</f>
        <v>24836.335999999999</v>
      </c>
      <c r="AL36" s="242">
        <v>0</v>
      </c>
      <c r="AM36" s="242">
        <v>0</v>
      </c>
      <c r="AR36" s="254"/>
      <c r="AS36" s="252"/>
      <c r="AT36" s="252"/>
      <c r="AZ36" s="243"/>
      <c r="BA36" s="238">
        <f t="shared" si="4"/>
        <v>24</v>
      </c>
      <c r="BC36" s="244">
        <v>1</v>
      </c>
      <c r="BD36" s="241" t="s">
        <v>64</v>
      </c>
      <c r="BG36" s="242">
        <f>+'[8]E13c - Yr3'!$D$630</f>
        <v>253432</v>
      </c>
      <c r="BH36" s="246">
        <v>0.1</v>
      </c>
      <c r="BI36" s="246">
        <f t="shared" ref="BI36:BI38" si="19">+AI36</f>
        <v>0.98</v>
      </c>
      <c r="BJ36" s="242">
        <f>BG36*BH36*BI36</f>
        <v>24836.335999999999</v>
      </c>
      <c r="BK36" s="242">
        <f>BJ36</f>
        <v>24836.335999999999</v>
      </c>
      <c r="BL36" s="242">
        <v>0</v>
      </c>
      <c r="BM36" s="242">
        <v>0</v>
      </c>
      <c r="BR36" s="254"/>
      <c r="BS36" s="252"/>
      <c r="BT36" s="252"/>
    </row>
    <row r="37" spans="1:72" s="241" customFormat="1" x14ac:dyDescent="0.3">
      <c r="A37" s="238">
        <f t="shared" si="5"/>
        <v>25</v>
      </c>
      <c r="C37" s="244">
        <v>2</v>
      </c>
      <c r="D37" s="241" t="s">
        <v>230</v>
      </c>
      <c r="G37" s="242">
        <v>0</v>
      </c>
      <c r="H37" s="246">
        <v>0.1</v>
      </c>
      <c r="I37" s="246">
        <f>I15</f>
        <v>0.99</v>
      </c>
      <c r="J37" s="242">
        <f>G37*H37*I37</f>
        <v>0</v>
      </c>
      <c r="K37" s="242">
        <f>J37</f>
        <v>0</v>
      </c>
      <c r="L37" s="242">
        <v>0</v>
      </c>
      <c r="M37" s="242">
        <v>0</v>
      </c>
      <c r="R37" s="254"/>
      <c r="S37" s="252"/>
      <c r="T37" s="252"/>
      <c r="Z37" s="243"/>
      <c r="AA37" s="238">
        <f t="shared" si="3"/>
        <v>25</v>
      </c>
      <c r="AC37" s="244">
        <v>2</v>
      </c>
      <c r="AD37" s="241" t="s">
        <v>230</v>
      </c>
      <c r="AG37" s="242">
        <v>0</v>
      </c>
      <c r="AH37" s="246">
        <v>0.1</v>
      </c>
      <c r="AI37" s="246">
        <f t="shared" si="18"/>
        <v>0.99</v>
      </c>
      <c r="AJ37" s="242">
        <f>AG37*AH37*AI37</f>
        <v>0</v>
      </c>
      <c r="AK37" s="242">
        <f>AJ37</f>
        <v>0</v>
      </c>
      <c r="AL37" s="242">
        <v>0</v>
      </c>
      <c r="AM37" s="242">
        <v>0</v>
      </c>
      <c r="AR37" s="254"/>
      <c r="AS37" s="252"/>
      <c r="AT37" s="252"/>
      <c r="AZ37" s="243"/>
      <c r="BA37" s="238">
        <f t="shared" si="4"/>
        <v>25</v>
      </c>
      <c r="BC37" s="244">
        <v>2</v>
      </c>
      <c r="BD37" s="241" t="s">
        <v>230</v>
      </c>
      <c r="BG37" s="242">
        <v>0</v>
      </c>
      <c r="BH37" s="246">
        <v>0.1</v>
      </c>
      <c r="BI37" s="246">
        <f t="shared" si="19"/>
        <v>0.99</v>
      </c>
      <c r="BJ37" s="242">
        <f>BG37*BH37*BI37</f>
        <v>0</v>
      </c>
      <c r="BK37" s="242">
        <f>BJ37</f>
        <v>0</v>
      </c>
      <c r="BL37" s="242">
        <v>0</v>
      </c>
      <c r="BM37" s="242">
        <v>0</v>
      </c>
      <c r="BR37" s="254"/>
      <c r="BS37" s="252"/>
      <c r="BT37" s="252"/>
    </row>
    <row r="38" spans="1:72" s="241" customFormat="1" x14ac:dyDescent="0.3">
      <c r="A38" s="238">
        <f t="shared" si="5"/>
        <v>26</v>
      </c>
      <c r="C38" s="244">
        <v>3</v>
      </c>
      <c r="D38" s="241" t="s">
        <v>165</v>
      </c>
      <c r="G38" s="242">
        <f>+'[8]E13c - Yr5'!$D$627</f>
        <v>58299.72</v>
      </c>
      <c r="H38" s="246">
        <v>0.1</v>
      </c>
      <c r="I38" s="246">
        <f>I15</f>
        <v>0.99</v>
      </c>
      <c r="J38" s="242">
        <f>G38*H38*I38</f>
        <v>5771.6722800000007</v>
      </c>
      <c r="K38" s="242">
        <f>J38</f>
        <v>5771.6722800000007</v>
      </c>
      <c r="L38" s="242">
        <f>J38</f>
        <v>5771.6722800000007</v>
      </c>
      <c r="M38" s="242">
        <v>0</v>
      </c>
      <c r="R38" s="254"/>
      <c r="S38" s="252"/>
      <c r="T38" s="252"/>
      <c r="Z38" s="243"/>
      <c r="AA38" s="238">
        <f t="shared" si="3"/>
        <v>26</v>
      </c>
      <c r="AC38" s="244">
        <v>3</v>
      </c>
      <c r="AD38" s="241" t="s">
        <v>165</v>
      </c>
      <c r="AG38" s="242">
        <f>+'[8]E13c - Yr4'!$D$627</f>
        <v>58299.72</v>
      </c>
      <c r="AH38" s="246">
        <v>0.1</v>
      </c>
      <c r="AI38" s="246">
        <f t="shared" si="18"/>
        <v>0.99</v>
      </c>
      <c r="AJ38" s="242">
        <f>AG38*AH38*AI38</f>
        <v>5771.6722800000007</v>
      </c>
      <c r="AK38" s="242">
        <f>AJ38</f>
        <v>5771.6722800000007</v>
      </c>
      <c r="AL38" s="242">
        <f>AJ38</f>
        <v>5771.6722800000007</v>
      </c>
      <c r="AM38" s="242">
        <v>0</v>
      </c>
      <c r="AR38" s="254"/>
      <c r="AS38" s="252"/>
      <c r="AT38" s="252"/>
      <c r="AZ38" s="243"/>
      <c r="BA38" s="238">
        <f t="shared" si="4"/>
        <v>26</v>
      </c>
      <c r="BC38" s="244">
        <v>3</v>
      </c>
      <c r="BD38" s="241" t="s">
        <v>165</v>
      </c>
      <c r="BG38" s="242">
        <f>+'[8]E13c - Yr3'!$D$627</f>
        <v>58299.72</v>
      </c>
      <c r="BH38" s="246">
        <v>0.1</v>
      </c>
      <c r="BI38" s="246">
        <f t="shared" si="19"/>
        <v>0.99</v>
      </c>
      <c r="BJ38" s="242">
        <f>BG38*BH38*BI38</f>
        <v>5771.6722800000007</v>
      </c>
      <c r="BK38" s="242">
        <f>BJ38</f>
        <v>5771.6722800000007</v>
      </c>
      <c r="BL38" s="242">
        <f>BJ38</f>
        <v>5771.6722800000007</v>
      </c>
      <c r="BM38" s="242">
        <v>0</v>
      </c>
      <c r="BR38" s="254"/>
      <c r="BS38" s="252"/>
      <c r="BT38" s="252"/>
    </row>
    <row r="39" spans="1:72" s="241" customFormat="1" x14ac:dyDescent="0.3">
      <c r="A39" s="238">
        <f t="shared" si="5"/>
        <v>27</v>
      </c>
      <c r="C39" s="241" t="s">
        <v>235</v>
      </c>
      <c r="G39" s="255"/>
      <c r="H39" s="255"/>
      <c r="I39" s="246"/>
      <c r="J39" s="255"/>
      <c r="K39" s="255"/>
      <c r="L39" s="255"/>
      <c r="M39" s="255"/>
      <c r="R39" s="251"/>
      <c r="S39" s="252"/>
      <c r="T39" s="252"/>
      <c r="Z39" s="243"/>
      <c r="AA39" s="238">
        <f t="shared" si="3"/>
        <v>27</v>
      </c>
      <c r="AC39" s="241" t="s">
        <v>235</v>
      </c>
      <c r="AG39" s="255"/>
      <c r="AH39" s="255"/>
      <c r="AI39" s="246"/>
      <c r="AJ39" s="255"/>
      <c r="AK39" s="255"/>
      <c r="AL39" s="255"/>
      <c r="AM39" s="255"/>
      <c r="AR39" s="251"/>
      <c r="AS39" s="252"/>
      <c r="AT39" s="252"/>
      <c r="AZ39" s="243"/>
      <c r="BA39" s="238">
        <f t="shared" si="4"/>
        <v>27</v>
      </c>
      <c r="BC39" s="241" t="s">
        <v>235</v>
      </c>
      <c r="BG39" s="255"/>
      <c r="BH39" s="255"/>
      <c r="BI39" s="246"/>
      <c r="BJ39" s="255"/>
      <c r="BK39" s="255"/>
      <c r="BL39" s="255"/>
      <c r="BM39" s="255"/>
      <c r="BR39" s="251"/>
      <c r="BS39" s="252"/>
      <c r="BT39" s="252"/>
    </row>
    <row r="40" spans="1:72" s="224" customFormat="1" x14ac:dyDescent="0.3">
      <c r="A40" s="238">
        <f t="shared" si="5"/>
        <v>28</v>
      </c>
      <c r="C40" s="182">
        <v>1</v>
      </c>
      <c r="D40" s="224" t="s">
        <v>64</v>
      </c>
      <c r="G40" s="256">
        <f>+'[8]E13c - Yr5'!$D$631</f>
        <v>148250.08777759949</v>
      </c>
      <c r="H40" s="257">
        <f>1/21</f>
        <v>4.7619047619047616E-2</v>
      </c>
      <c r="I40" s="258">
        <f>I21</f>
        <v>0.98</v>
      </c>
      <c r="J40" s="256">
        <f>G40*H40*I40</f>
        <v>6918.3374296213087</v>
      </c>
      <c r="K40" s="256">
        <f>J40</f>
        <v>6918.3374296213087</v>
      </c>
      <c r="L40" s="256">
        <v>0</v>
      </c>
      <c r="M40" s="256">
        <v>0</v>
      </c>
      <c r="R40" s="259"/>
      <c r="S40" s="260"/>
      <c r="T40" s="261"/>
      <c r="Z40" s="227"/>
      <c r="AA40" s="238">
        <f t="shared" si="3"/>
        <v>28</v>
      </c>
      <c r="AC40" s="182">
        <v>1</v>
      </c>
      <c r="AD40" s="224" t="s">
        <v>64</v>
      </c>
      <c r="AG40" s="256">
        <f>+'[8]E13c - Yr4'!$D$631</f>
        <v>146796.72451314615</v>
      </c>
      <c r="AH40" s="257">
        <f>1/21</f>
        <v>4.7619047619047616E-2</v>
      </c>
      <c r="AI40" s="258">
        <f t="shared" ref="AI40:AI42" si="20">+I40</f>
        <v>0.98</v>
      </c>
      <c r="AJ40" s="256">
        <f>AG40*AH40*AI40</f>
        <v>6850.5138106134873</v>
      </c>
      <c r="AK40" s="256">
        <f>AJ40</f>
        <v>6850.5138106134873</v>
      </c>
      <c r="AL40" s="256">
        <v>0</v>
      </c>
      <c r="AM40" s="256">
        <v>0</v>
      </c>
      <c r="AR40" s="259"/>
      <c r="AS40" s="260"/>
      <c r="AT40" s="261"/>
      <c r="AZ40" s="227"/>
      <c r="BA40" s="238">
        <f t="shared" si="4"/>
        <v>28</v>
      </c>
      <c r="BC40" s="182">
        <v>1</v>
      </c>
      <c r="BD40" s="224" t="s">
        <v>64</v>
      </c>
      <c r="BG40" s="256">
        <f>+'[8]E13c - Yr3'!$D$631</f>
        <v>145658.77538565526</v>
      </c>
      <c r="BH40" s="257">
        <f>1/21</f>
        <v>4.7619047619047616E-2</v>
      </c>
      <c r="BI40" s="258">
        <f t="shared" ref="BI40:BI42" si="21">+AI40</f>
        <v>0.98</v>
      </c>
      <c r="BJ40" s="256">
        <f>BG40*BH40*BI40</f>
        <v>6797.4095179972455</v>
      </c>
      <c r="BK40" s="256">
        <f>BJ40</f>
        <v>6797.4095179972455</v>
      </c>
      <c r="BL40" s="256">
        <v>0</v>
      </c>
      <c r="BM40" s="256">
        <v>0</v>
      </c>
      <c r="BR40" s="259"/>
      <c r="BS40" s="260"/>
      <c r="BT40" s="261"/>
    </row>
    <row r="41" spans="1:72" s="224" customFormat="1" x14ac:dyDescent="0.3">
      <c r="A41" s="238">
        <f t="shared" si="5"/>
        <v>29</v>
      </c>
      <c r="C41" s="182">
        <v>2</v>
      </c>
      <c r="D41" s="224" t="s">
        <v>230</v>
      </c>
      <c r="G41" s="256">
        <v>0</v>
      </c>
      <c r="H41" s="257">
        <f>1/21</f>
        <v>4.7619047619047616E-2</v>
      </c>
      <c r="I41" s="258">
        <f>I15</f>
        <v>0.99</v>
      </c>
      <c r="J41" s="256">
        <f>G41*H41*I41</f>
        <v>0</v>
      </c>
      <c r="K41" s="256">
        <f>J41</f>
        <v>0</v>
      </c>
      <c r="L41" s="256">
        <v>0</v>
      </c>
      <c r="M41" s="256">
        <v>0</v>
      </c>
      <c r="R41" s="259"/>
      <c r="S41" s="260"/>
      <c r="T41" s="261"/>
      <c r="Z41" s="227"/>
      <c r="AA41" s="238">
        <f t="shared" si="3"/>
        <v>29</v>
      </c>
      <c r="AC41" s="182">
        <v>2</v>
      </c>
      <c r="AD41" s="224" t="s">
        <v>230</v>
      </c>
      <c r="AG41" s="256">
        <v>0</v>
      </c>
      <c r="AH41" s="257">
        <f>1/21</f>
        <v>4.7619047619047616E-2</v>
      </c>
      <c r="AI41" s="258">
        <f t="shared" si="20"/>
        <v>0.99</v>
      </c>
      <c r="AJ41" s="256">
        <f>AG41*AH41*AI41</f>
        <v>0</v>
      </c>
      <c r="AK41" s="256">
        <f>AJ41</f>
        <v>0</v>
      </c>
      <c r="AL41" s="256">
        <v>0</v>
      </c>
      <c r="AM41" s="256">
        <v>0</v>
      </c>
      <c r="AR41" s="259"/>
      <c r="AS41" s="260"/>
      <c r="AT41" s="261"/>
      <c r="AZ41" s="227"/>
      <c r="BA41" s="238">
        <f t="shared" si="4"/>
        <v>29</v>
      </c>
      <c r="BC41" s="182">
        <v>2</v>
      </c>
      <c r="BD41" s="224" t="s">
        <v>230</v>
      </c>
      <c r="BG41" s="256">
        <v>0</v>
      </c>
      <c r="BH41" s="257">
        <f>1/21</f>
        <v>4.7619047619047616E-2</v>
      </c>
      <c r="BI41" s="258">
        <f t="shared" si="21"/>
        <v>0.99</v>
      </c>
      <c r="BJ41" s="256">
        <f>BG41*BH41*BI41</f>
        <v>0</v>
      </c>
      <c r="BK41" s="256">
        <f>BJ41</f>
        <v>0</v>
      </c>
      <c r="BL41" s="256">
        <v>0</v>
      </c>
      <c r="BM41" s="256">
        <v>0</v>
      </c>
      <c r="BR41" s="259"/>
      <c r="BS41" s="260"/>
      <c r="BT41" s="261"/>
    </row>
    <row r="42" spans="1:72" s="224" customFormat="1" x14ac:dyDescent="0.3">
      <c r="A42" s="238">
        <f t="shared" si="5"/>
        <v>30</v>
      </c>
      <c r="C42" s="182">
        <v>3</v>
      </c>
      <c r="D42" s="224" t="s">
        <v>165</v>
      </c>
      <c r="G42" s="256">
        <f>+'[8]E13c - Yr5'!$D$628</f>
        <v>2095482.8145370097</v>
      </c>
      <c r="H42" s="257">
        <f>1/21</f>
        <v>4.7619047619047616E-2</v>
      </c>
      <c r="I42" s="258">
        <f>I15</f>
        <v>0.99</v>
      </c>
      <c r="J42" s="256">
        <f>G42*H42*I42</f>
        <v>98787.046971030446</v>
      </c>
      <c r="K42" s="256">
        <f>J42</f>
        <v>98787.046971030446</v>
      </c>
      <c r="L42" s="256">
        <f>J42</f>
        <v>98787.046971030446</v>
      </c>
      <c r="M42" s="256">
        <v>0</v>
      </c>
      <c r="R42" s="259"/>
      <c r="S42" s="260"/>
      <c r="T42" s="261"/>
      <c r="Z42" s="227"/>
      <c r="AA42" s="238">
        <f t="shared" si="3"/>
        <v>30</v>
      </c>
      <c r="AC42" s="182">
        <v>3</v>
      </c>
      <c r="AD42" s="224" t="s">
        <v>165</v>
      </c>
      <c r="AG42" s="256">
        <f>+'[8]E13c - Yr4'!$D$628</f>
        <v>2074939.8402319269</v>
      </c>
      <c r="AH42" s="257">
        <f>1/21</f>
        <v>4.7619047619047616E-2</v>
      </c>
      <c r="AI42" s="258">
        <f t="shared" si="20"/>
        <v>0.99</v>
      </c>
      <c r="AJ42" s="256">
        <f>AG42*AH42*AI42</f>
        <v>97818.592468076546</v>
      </c>
      <c r="AK42" s="256">
        <f>AJ42</f>
        <v>97818.592468076546</v>
      </c>
      <c r="AL42" s="256">
        <f>AJ42</f>
        <v>97818.592468076546</v>
      </c>
      <c r="AM42" s="256">
        <v>0</v>
      </c>
      <c r="AR42" s="259"/>
      <c r="AS42" s="260"/>
      <c r="AT42" s="261"/>
      <c r="AZ42" s="227"/>
      <c r="BA42" s="238">
        <f t="shared" si="4"/>
        <v>30</v>
      </c>
      <c r="BC42" s="182">
        <v>3</v>
      </c>
      <c r="BD42" s="224" t="s">
        <v>165</v>
      </c>
      <c r="BG42" s="256">
        <f>+'[8]E13c - Yr3'!$D$628</f>
        <v>2058855.1762953247</v>
      </c>
      <c r="BH42" s="257">
        <f>1/21</f>
        <v>4.7619047619047616E-2</v>
      </c>
      <c r="BI42" s="258">
        <f t="shared" si="21"/>
        <v>0.99</v>
      </c>
      <c r="BJ42" s="256">
        <f>BG42*BH42*BI42</f>
        <v>97060.315453922449</v>
      </c>
      <c r="BK42" s="256">
        <f>BJ42</f>
        <v>97060.315453922449</v>
      </c>
      <c r="BL42" s="256">
        <f>BJ42</f>
        <v>97060.315453922449</v>
      </c>
      <c r="BM42" s="256">
        <v>0</v>
      </c>
      <c r="BR42" s="259"/>
      <c r="BS42" s="260"/>
      <c r="BT42" s="261"/>
    </row>
    <row r="43" spans="1:72" s="224" customFormat="1" x14ac:dyDescent="0.3">
      <c r="A43" s="238">
        <f t="shared" si="5"/>
        <v>31</v>
      </c>
      <c r="C43" s="224" t="s">
        <v>236</v>
      </c>
      <c r="G43" s="256"/>
      <c r="H43" s="256"/>
      <c r="I43" s="258"/>
      <c r="J43" s="256"/>
      <c r="K43" s="256"/>
      <c r="L43" s="256"/>
      <c r="M43" s="256"/>
      <c r="R43" s="259"/>
      <c r="S43" s="260"/>
      <c r="T43" s="261"/>
      <c r="Z43" s="227"/>
      <c r="AA43" s="238">
        <f t="shared" si="3"/>
        <v>31</v>
      </c>
      <c r="AC43" s="224" t="s">
        <v>236</v>
      </c>
      <c r="AG43" s="256"/>
      <c r="AH43" s="256"/>
      <c r="AI43" s="258"/>
      <c r="AJ43" s="256"/>
      <c r="AK43" s="256"/>
      <c r="AL43" s="256"/>
      <c r="AM43" s="256"/>
      <c r="AR43" s="259"/>
      <c r="AS43" s="260"/>
      <c r="AT43" s="261"/>
      <c r="AZ43" s="227"/>
      <c r="BA43" s="238">
        <f t="shared" si="4"/>
        <v>31</v>
      </c>
      <c r="BC43" s="224" t="s">
        <v>236</v>
      </c>
      <c r="BG43" s="256"/>
      <c r="BH43" s="256"/>
      <c r="BI43" s="258"/>
      <c r="BJ43" s="256"/>
      <c r="BK43" s="256"/>
      <c r="BL43" s="256"/>
      <c r="BM43" s="256"/>
      <c r="BR43" s="259"/>
      <c r="BS43" s="260"/>
      <c r="BT43" s="261"/>
    </row>
    <row r="44" spans="1:72" s="224" customFormat="1" x14ac:dyDescent="0.3">
      <c r="A44" s="238">
        <f t="shared" si="5"/>
        <v>32</v>
      </c>
      <c r="C44" s="224" t="s">
        <v>237</v>
      </c>
      <c r="D44" s="224" t="s">
        <v>238</v>
      </c>
      <c r="G44" s="262">
        <f>+'[8]E13c - Yr5'!$D$622</f>
        <v>253660.31999999995</v>
      </c>
      <c r="H44" s="263">
        <v>1</v>
      </c>
      <c r="I44" s="258">
        <f>I15</f>
        <v>0.99</v>
      </c>
      <c r="J44" s="256">
        <f>G44*H44*I44</f>
        <v>251123.71679999994</v>
      </c>
      <c r="K44" s="264">
        <v>0</v>
      </c>
      <c r="L44" s="262">
        <f>J44</f>
        <v>251123.71679999994</v>
      </c>
      <c r="M44" s="262">
        <v>0</v>
      </c>
      <c r="R44" s="259"/>
      <c r="S44" s="260"/>
      <c r="T44" s="261"/>
      <c r="Z44" s="227"/>
      <c r="AA44" s="238">
        <f t="shared" si="3"/>
        <v>32</v>
      </c>
      <c r="AC44" s="224" t="s">
        <v>237</v>
      </c>
      <c r="AD44" s="224" t="s">
        <v>238</v>
      </c>
      <c r="AG44" s="262">
        <f>+'[8]E13c - Yr4'!$D$622</f>
        <v>253660.31999999995</v>
      </c>
      <c r="AH44" s="263">
        <v>1</v>
      </c>
      <c r="AI44" s="258">
        <f>+I44</f>
        <v>0.99</v>
      </c>
      <c r="AJ44" s="256">
        <f>AG44*AH44*AI44</f>
        <v>251123.71679999994</v>
      </c>
      <c r="AK44" s="264">
        <v>0</v>
      </c>
      <c r="AL44" s="262">
        <f>AJ44</f>
        <v>251123.71679999994</v>
      </c>
      <c r="AM44" s="262">
        <v>0</v>
      </c>
      <c r="AR44" s="259"/>
      <c r="AS44" s="260"/>
      <c r="AT44" s="261"/>
      <c r="AZ44" s="227"/>
      <c r="BA44" s="238">
        <f t="shared" si="4"/>
        <v>32</v>
      </c>
      <c r="BC44" s="224" t="s">
        <v>237</v>
      </c>
      <c r="BD44" s="224" t="s">
        <v>238</v>
      </c>
      <c r="BG44" s="262">
        <f>+'[8]E13c - Yr3'!$D$622</f>
        <v>253660.31999999995</v>
      </c>
      <c r="BH44" s="263">
        <v>1</v>
      </c>
      <c r="BI44" s="258">
        <f>+AI44</f>
        <v>0.99</v>
      </c>
      <c r="BJ44" s="256">
        <f>BG44*BH44*BI44</f>
        <v>251123.71679999994</v>
      </c>
      <c r="BK44" s="264">
        <v>0</v>
      </c>
      <c r="BL44" s="262">
        <f>BJ44</f>
        <v>251123.71679999994</v>
      </c>
      <c r="BM44" s="262">
        <v>0</v>
      </c>
      <c r="BR44" s="259"/>
      <c r="BS44" s="260"/>
      <c r="BT44" s="261"/>
    </row>
    <row r="45" spans="1:72" s="224" customFormat="1" x14ac:dyDescent="0.3">
      <c r="A45" s="238">
        <f t="shared" si="5"/>
        <v>33</v>
      </c>
      <c r="C45" s="224" t="s">
        <v>239</v>
      </c>
      <c r="G45" s="256">
        <f>SUM(G36:G44)</f>
        <v>2809124.942314609</v>
      </c>
      <c r="H45" s="256"/>
      <c r="I45" s="258"/>
      <c r="J45" s="256"/>
      <c r="K45" s="256">
        <f>SUM(K36:K44)</f>
        <v>136313.39268065174</v>
      </c>
      <c r="L45" s="256">
        <f>SUM(L36:L44)</f>
        <v>355682.43605103041</v>
      </c>
      <c r="M45" s="256">
        <f>SUM(M36:M44)</f>
        <v>0</v>
      </c>
      <c r="R45" s="259"/>
      <c r="S45" s="260"/>
      <c r="T45" s="261"/>
      <c r="Z45" s="227"/>
      <c r="AA45" s="238">
        <f t="shared" si="3"/>
        <v>33</v>
      </c>
      <c r="AC45" s="224" t="s">
        <v>239</v>
      </c>
      <c r="AG45" s="256">
        <f>SUM(AG36:AG44)</f>
        <v>2787128.6047450728</v>
      </c>
      <c r="AH45" s="256"/>
      <c r="AI45" s="258"/>
      <c r="AJ45" s="256"/>
      <c r="AK45" s="256">
        <f>SUM(AK36:AK44)</f>
        <v>135277.11455869005</v>
      </c>
      <c r="AL45" s="256">
        <f>SUM(AL36:AL44)</f>
        <v>354713.9815480765</v>
      </c>
      <c r="AM45" s="256">
        <f>SUM(AM36:AM44)</f>
        <v>0</v>
      </c>
      <c r="AR45" s="259"/>
      <c r="AS45" s="260"/>
      <c r="AT45" s="261"/>
      <c r="AZ45" s="227"/>
      <c r="BA45" s="238">
        <f t="shared" si="4"/>
        <v>33</v>
      </c>
      <c r="BC45" s="224" t="s">
        <v>239</v>
      </c>
      <c r="BG45" s="256">
        <f>SUM(BG36:BG44)</f>
        <v>2769905.9916809797</v>
      </c>
      <c r="BH45" s="256"/>
      <c r="BI45" s="258"/>
      <c r="BJ45" s="256"/>
      <c r="BK45" s="256">
        <f>SUM(BK36:BK44)</f>
        <v>134465.73325191968</v>
      </c>
      <c r="BL45" s="256">
        <f>SUM(BL36:BL44)</f>
        <v>353955.70453392237</v>
      </c>
      <c r="BM45" s="256">
        <f>SUM(BM36:BM44)</f>
        <v>0</v>
      </c>
      <c r="BR45" s="259"/>
      <c r="BS45" s="260"/>
      <c r="BT45" s="261"/>
    </row>
    <row r="46" spans="1:72" s="224" customFormat="1" x14ac:dyDescent="0.3">
      <c r="A46" s="238">
        <f t="shared" si="5"/>
        <v>34</v>
      </c>
      <c r="B46" s="42" t="s">
        <v>240</v>
      </c>
      <c r="C46" s="150" t="s">
        <v>187</v>
      </c>
      <c r="G46" s="256"/>
      <c r="H46" s="256"/>
      <c r="I46" s="258"/>
      <c r="J46" s="256"/>
      <c r="K46" s="256"/>
      <c r="L46" s="256"/>
      <c r="M46" s="256"/>
      <c r="R46" s="259"/>
      <c r="S46" s="260"/>
      <c r="T46" s="261"/>
      <c r="Z46" s="227"/>
      <c r="AA46" s="238">
        <f t="shared" si="3"/>
        <v>34</v>
      </c>
      <c r="AB46" s="42" t="s">
        <v>240</v>
      </c>
      <c r="AC46" s="150" t="s">
        <v>187</v>
      </c>
      <c r="AG46" s="256"/>
      <c r="AH46" s="256"/>
      <c r="AI46" s="258"/>
      <c r="AJ46" s="256"/>
      <c r="AK46" s="256"/>
      <c r="AL46" s="256"/>
      <c r="AM46" s="256"/>
      <c r="AR46" s="259"/>
      <c r="AS46" s="260"/>
      <c r="AT46" s="261"/>
      <c r="AZ46" s="227"/>
      <c r="BA46" s="238">
        <f t="shared" si="4"/>
        <v>34</v>
      </c>
      <c r="BB46" s="42" t="s">
        <v>240</v>
      </c>
      <c r="BC46" s="150" t="s">
        <v>187</v>
      </c>
      <c r="BG46" s="256"/>
      <c r="BH46" s="256"/>
      <c r="BI46" s="258"/>
      <c r="BJ46" s="256"/>
      <c r="BK46" s="256"/>
      <c r="BL46" s="256"/>
      <c r="BM46" s="256"/>
      <c r="BR46" s="259"/>
      <c r="BS46" s="260"/>
      <c r="BT46" s="261"/>
    </row>
    <row r="47" spans="1:72" s="224" customFormat="1" x14ac:dyDescent="0.3">
      <c r="A47" s="238">
        <f t="shared" si="5"/>
        <v>35</v>
      </c>
      <c r="B47" s="265"/>
      <c r="C47" s="224" t="s">
        <v>234</v>
      </c>
      <c r="G47" s="256"/>
      <c r="H47" s="256"/>
      <c r="I47" s="258"/>
      <c r="J47" s="256"/>
      <c r="K47" s="256"/>
      <c r="L47" s="256"/>
      <c r="M47" s="256"/>
      <c r="R47" s="259"/>
      <c r="S47" s="260"/>
      <c r="T47" s="261"/>
      <c r="Z47" s="227"/>
      <c r="AA47" s="238">
        <f t="shared" si="3"/>
        <v>35</v>
      </c>
      <c r="AB47" s="265"/>
      <c r="AC47" s="224" t="s">
        <v>234</v>
      </c>
      <c r="AG47" s="256"/>
      <c r="AH47" s="256"/>
      <c r="AI47" s="258"/>
      <c r="AJ47" s="256"/>
      <c r="AK47" s="256"/>
      <c r="AL47" s="256"/>
      <c r="AM47" s="256"/>
      <c r="AR47" s="259"/>
      <c r="AS47" s="260"/>
      <c r="AT47" s="261"/>
      <c r="AZ47" s="227"/>
      <c r="BA47" s="238">
        <f t="shared" si="4"/>
        <v>35</v>
      </c>
      <c r="BB47" s="265"/>
      <c r="BC47" s="224" t="s">
        <v>234</v>
      </c>
      <c r="BG47" s="256"/>
      <c r="BH47" s="256"/>
      <c r="BI47" s="258"/>
      <c r="BJ47" s="256"/>
      <c r="BK47" s="256"/>
      <c r="BL47" s="256"/>
      <c r="BM47" s="256"/>
      <c r="BR47" s="259"/>
      <c r="BS47" s="260"/>
      <c r="BT47" s="261"/>
    </row>
    <row r="48" spans="1:72" s="224" customFormat="1" x14ac:dyDescent="0.3">
      <c r="A48" s="238">
        <f t="shared" si="5"/>
        <v>36</v>
      </c>
      <c r="B48" s="265"/>
      <c r="C48" s="182">
        <v>1</v>
      </c>
      <c r="D48" s="224" t="s">
        <v>64</v>
      </c>
      <c r="G48" s="256">
        <f>+'[8]E13c - Yr5'!$D$692</f>
        <v>110000</v>
      </c>
      <c r="H48" s="258">
        <v>0.1</v>
      </c>
      <c r="I48" s="258">
        <f>I21</f>
        <v>0.98</v>
      </c>
      <c r="J48" s="256">
        <f>G48*H48*I48</f>
        <v>10780</v>
      </c>
      <c r="K48" s="256">
        <f>J48</f>
        <v>10780</v>
      </c>
      <c r="L48" s="256">
        <v>0</v>
      </c>
      <c r="M48" s="256">
        <v>0</v>
      </c>
      <c r="R48" s="259"/>
      <c r="S48" s="260"/>
      <c r="T48" s="261"/>
      <c r="Z48" s="227"/>
      <c r="AA48" s="238">
        <f t="shared" si="3"/>
        <v>36</v>
      </c>
      <c r="AB48" s="265"/>
      <c r="AC48" s="182">
        <v>1</v>
      </c>
      <c r="AD48" s="224" t="s">
        <v>64</v>
      </c>
      <c r="AG48" s="256">
        <f>+'[8]E13c - Yr4'!$D$691</f>
        <v>110000</v>
      </c>
      <c r="AH48" s="258">
        <v>0.1</v>
      </c>
      <c r="AI48" s="258">
        <f t="shared" ref="AI48:AI50" si="22">+I48</f>
        <v>0.98</v>
      </c>
      <c r="AJ48" s="256">
        <f>AG48*AH48*AI48</f>
        <v>10780</v>
      </c>
      <c r="AK48" s="256">
        <f>AJ48</f>
        <v>10780</v>
      </c>
      <c r="AL48" s="256">
        <v>0</v>
      </c>
      <c r="AM48" s="256">
        <v>0</v>
      </c>
      <c r="AR48" s="259"/>
      <c r="AS48" s="260"/>
      <c r="AT48" s="261"/>
      <c r="AZ48" s="227"/>
      <c r="BA48" s="238">
        <f t="shared" si="4"/>
        <v>36</v>
      </c>
      <c r="BB48" s="265"/>
      <c r="BC48" s="182">
        <v>1</v>
      </c>
      <c r="BD48" s="224" t="s">
        <v>64</v>
      </c>
      <c r="BG48" s="256">
        <f>+'[8]E13c - Yr3'!$D$692</f>
        <v>110000</v>
      </c>
      <c r="BH48" s="258">
        <v>0.1</v>
      </c>
      <c r="BI48" s="258">
        <f t="shared" ref="BI48:BI50" si="23">+AI48</f>
        <v>0.98</v>
      </c>
      <c r="BJ48" s="256">
        <f>BG48*BH48*BI48</f>
        <v>10780</v>
      </c>
      <c r="BK48" s="256">
        <f>BJ48</f>
        <v>10780</v>
      </c>
      <c r="BL48" s="256">
        <v>0</v>
      </c>
      <c r="BM48" s="256">
        <v>0</v>
      </c>
      <c r="BR48" s="259"/>
      <c r="BS48" s="260"/>
      <c r="BT48" s="261"/>
    </row>
    <row r="49" spans="1:72" s="224" customFormat="1" x14ac:dyDescent="0.3">
      <c r="A49" s="238">
        <f t="shared" si="5"/>
        <v>37</v>
      </c>
      <c r="B49" s="265"/>
      <c r="C49" s="182">
        <v>2</v>
      </c>
      <c r="D49" s="224" t="s">
        <v>230</v>
      </c>
      <c r="G49" s="256">
        <v>0</v>
      </c>
      <c r="H49" s="258">
        <v>0.1</v>
      </c>
      <c r="I49" s="258">
        <f>I15</f>
        <v>0.99</v>
      </c>
      <c r="J49" s="256">
        <f>G49*H49*I49</f>
        <v>0</v>
      </c>
      <c r="K49" s="256">
        <f>J49</f>
        <v>0</v>
      </c>
      <c r="L49" s="256">
        <v>0</v>
      </c>
      <c r="M49" s="256">
        <v>0</v>
      </c>
      <c r="R49" s="259"/>
      <c r="S49" s="260"/>
      <c r="T49" s="261"/>
      <c r="Z49" s="227"/>
      <c r="AA49" s="238">
        <f t="shared" si="3"/>
        <v>37</v>
      </c>
      <c r="AB49" s="265"/>
      <c r="AC49" s="182">
        <v>2</v>
      </c>
      <c r="AD49" s="224" t="s">
        <v>230</v>
      </c>
      <c r="AG49" s="256">
        <v>0</v>
      </c>
      <c r="AH49" s="258">
        <v>0.1</v>
      </c>
      <c r="AI49" s="258">
        <f t="shared" si="22"/>
        <v>0.99</v>
      </c>
      <c r="AJ49" s="256">
        <f>AG49*AH49*AI49</f>
        <v>0</v>
      </c>
      <c r="AK49" s="256">
        <f>AJ49</f>
        <v>0</v>
      </c>
      <c r="AL49" s="256">
        <v>0</v>
      </c>
      <c r="AM49" s="256">
        <v>0</v>
      </c>
      <c r="AR49" s="259"/>
      <c r="AS49" s="260"/>
      <c r="AT49" s="261"/>
      <c r="AZ49" s="227"/>
      <c r="BA49" s="238">
        <f t="shared" si="4"/>
        <v>37</v>
      </c>
      <c r="BB49" s="265"/>
      <c r="BC49" s="182">
        <v>2</v>
      </c>
      <c r="BD49" s="224" t="s">
        <v>230</v>
      </c>
      <c r="BG49" s="256">
        <v>0</v>
      </c>
      <c r="BH49" s="258">
        <v>0.1</v>
      </c>
      <c r="BI49" s="258">
        <f t="shared" si="23"/>
        <v>0.99</v>
      </c>
      <c r="BJ49" s="256">
        <f>BG49*BH49*BI49</f>
        <v>0</v>
      </c>
      <c r="BK49" s="256">
        <f>BJ49</f>
        <v>0</v>
      </c>
      <c r="BL49" s="256">
        <v>0</v>
      </c>
      <c r="BM49" s="256">
        <v>0</v>
      </c>
      <c r="BR49" s="259"/>
      <c r="BS49" s="260"/>
      <c r="BT49" s="261"/>
    </row>
    <row r="50" spans="1:72" s="224" customFormat="1" x14ac:dyDescent="0.3">
      <c r="A50" s="238">
        <f t="shared" si="5"/>
        <v>38</v>
      </c>
      <c r="B50" s="265"/>
      <c r="C50" s="182">
        <v>3</v>
      </c>
      <c r="D50" s="224" t="s">
        <v>165</v>
      </c>
      <c r="G50" s="256">
        <f>+'[8]E13c - Yr5'!$D$689</f>
        <v>66270</v>
      </c>
      <c r="H50" s="258">
        <v>0.1</v>
      </c>
      <c r="I50" s="258">
        <f>I15</f>
        <v>0.99</v>
      </c>
      <c r="J50" s="256">
        <f>G50*H50*I50</f>
        <v>6560.73</v>
      </c>
      <c r="K50" s="256">
        <f>J50</f>
        <v>6560.73</v>
      </c>
      <c r="L50" s="256">
        <f>J50</f>
        <v>6560.73</v>
      </c>
      <c r="M50" s="256">
        <v>0</v>
      </c>
      <c r="R50" s="259"/>
      <c r="S50" s="260"/>
      <c r="T50" s="261"/>
      <c r="Z50" s="227"/>
      <c r="AA50" s="238">
        <f t="shared" si="3"/>
        <v>38</v>
      </c>
      <c r="AB50" s="265"/>
      <c r="AC50" s="182">
        <v>3</v>
      </c>
      <c r="AD50" s="224" t="s">
        <v>165</v>
      </c>
      <c r="AG50" s="256">
        <f>+'[8]E13c - Yr4'!$D$688</f>
        <v>66270</v>
      </c>
      <c r="AH50" s="258">
        <v>0.1</v>
      </c>
      <c r="AI50" s="258">
        <f t="shared" si="22"/>
        <v>0.99</v>
      </c>
      <c r="AJ50" s="256">
        <f>AG50*AH50*AI50</f>
        <v>6560.73</v>
      </c>
      <c r="AK50" s="256">
        <f>AJ50</f>
        <v>6560.73</v>
      </c>
      <c r="AL50" s="256">
        <f>AJ50</f>
        <v>6560.73</v>
      </c>
      <c r="AM50" s="256">
        <v>0</v>
      </c>
      <c r="AR50" s="259"/>
      <c r="AS50" s="260"/>
      <c r="AT50" s="261"/>
      <c r="AZ50" s="227"/>
      <c r="BA50" s="238">
        <f t="shared" si="4"/>
        <v>38</v>
      </c>
      <c r="BB50" s="265"/>
      <c r="BC50" s="182">
        <v>3</v>
      </c>
      <c r="BD50" s="224" t="s">
        <v>165</v>
      </c>
      <c r="BG50" s="256">
        <f>+'[8]E13c - Yr3'!$D$689</f>
        <v>66270</v>
      </c>
      <c r="BH50" s="258">
        <v>0.1</v>
      </c>
      <c r="BI50" s="258">
        <f t="shared" si="23"/>
        <v>0.99</v>
      </c>
      <c r="BJ50" s="256">
        <f>BG50*BH50*BI50</f>
        <v>6560.73</v>
      </c>
      <c r="BK50" s="256">
        <f>BJ50</f>
        <v>6560.73</v>
      </c>
      <c r="BL50" s="256">
        <f>BJ50</f>
        <v>6560.73</v>
      </c>
      <c r="BM50" s="256">
        <v>0</v>
      </c>
      <c r="BR50" s="259"/>
      <c r="BS50" s="260"/>
      <c r="BT50" s="261"/>
    </row>
    <row r="51" spans="1:72" s="224" customFormat="1" x14ac:dyDescent="0.25">
      <c r="A51" s="238">
        <f t="shared" si="5"/>
        <v>39</v>
      </c>
      <c r="B51" s="265"/>
      <c r="C51" s="224" t="s">
        <v>235</v>
      </c>
      <c r="G51" s="266"/>
      <c r="H51" s="266"/>
      <c r="I51" s="258"/>
      <c r="J51" s="256"/>
      <c r="K51" s="266"/>
      <c r="L51" s="266"/>
      <c r="M51" s="266"/>
      <c r="Z51" s="227"/>
      <c r="AA51" s="238">
        <f t="shared" si="3"/>
        <v>39</v>
      </c>
      <c r="AB51" s="265"/>
      <c r="AC51" s="224" t="s">
        <v>235</v>
      </c>
      <c r="AG51" s="266"/>
      <c r="AH51" s="266"/>
      <c r="AI51" s="258"/>
      <c r="AJ51" s="256"/>
      <c r="AK51" s="266"/>
      <c r="AL51" s="266"/>
      <c r="AM51" s="266"/>
      <c r="AZ51" s="227"/>
      <c r="BA51" s="238">
        <f t="shared" si="4"/>
        <v>39</v>
      </c>
      <c r="BB51" s="265"/>
      <c r="BC51" s="224" t="s">
        <v>235</v>
      </c>
      <c r="BG51" s="266"/>
      <c r="BH51" s="266"/>
      <c r="BI51" s="258"/>
      <c r="BJ51" s="256"/>
      <c r="BK51" s="266"/>
      <c r="BL51" s="266"/>
      <c r="BM51" s="266"/>
    </row>
    <row r="52" spans="1:72" s="224" customFormat="1" x14ac:dyDescent="0.3">
      <c r="A52" s="238">
        <f t="shared" si="5"/>
        <v>40</v>
      </c>
      <c r="B52" s="265"/>
      <c r="C52" s="182">
        <v>1</v>
      </c>
      <c r="D52" s="224" t="s">
        <v>64</v>
      </c>
      <c r="G52" s="256">
        <f>+'[8]E13c - Yr5'!$D$693</f>
        <v>45223.25659990203</v>
      </c>
      <c r="H52" s="257">
        <f>1/21</f>
        <v>4.7619047619047616E-2</v>
      </c>
      <c r="I52" s="258">
        <f>I21</f>
        <v>0.98</v>
      </c>
      <c r="J52" s="256">
        <f>G52*H52*I52</f>
        <v>2110.4186413287612</v>
      </c>
      <c r="K52" s="256">
        <f>J52</f>
        <v>2110.4186413287612</v>
      </c>
      <c r="L52" s="256">
        <v>0</v>
      </c>
      <c r="M52" s="256">
        <v>0</v>
      </c>
      <c r="Z52" s="227"/>
      <c r="AA52" s="238">
        <f t="shared" si="3"/>
        <v>40</v>
      </c>
      <c r="AB52" s="265"/>
      <c r="AC52" s="182">
        <v>1</v>
      </c>
      <c r="AD52" s="224" t="s">
        <v>64</v>
      </c>
      <c r="AG52" s="256">
        <f>+'[8]E13c - Yr4'!$D$692</f>
        <v>45130.40121168919</v>
      </c>
      <c r="AH52" s="257">
        <f>1/21</f>
        <v>4.7619047619047616E-2</v>
      </c>
      <c r="AI52" s="258">
        <f t="shared" ref="AI52:AI54" si="24">+I52</f>
        <v>0.98</v>
      </c>
      <c r="AJ52" s="256">
        <f>AG52*AH52*AI52</f>
        <v>2106.0853898788287</v>
      </c>
      <c r="AK52" s="256">
        <f>AJ52</f>
        <v>2106.0853898788287</v>
      </c>
      <c r="AL52" s="256">
        <v>0</v>
      </c>
      <c r="AM52" s="256">
        <v>0</v>
      </c>
      <c r="AZ52" s="227"/>
      <c r="BA52" s="238">
        <f t="shared" si="4"/>
        <v>40</v>
      </c>
      <c r="BB52" s="265"/>
      <c r="BC52" s="182">
        <v>1</v>
      </c>
      <c r="BD52" s="224" t="s">
        <v>64</v>
      </c>
      <c r="BG52" s="256">
        <f>+'[8]E13c - Yr3'!$D$693</f>
        <v>44434.269591896082</v>
      </c>
      <c r="BH52" s="257">
        <f>1/21</f>
        <v>4.7619047619047616E-2</v>
      </c>
      <c r="BI52" s="258">
        <f t="shared" ref="BI52:BI54" si="25">+AI52</f>
        <v>0.98</v>
      </c>
      <c r="BJ52" s="256">
        <f>BG52*BH52*BI52</f>
        <v>2073.5992476218171</v>
      </c>
      <c r="BK52" s="256">
        <f>BJ52</f>
        <v>2073.5992476218171</v>
      </c>
      <c r="BL52" s="256">
        <v>0</v>
      </c>
      <c r="BM52" s="256">
        <v>0</v>
      </c>
    </row>
    <row r="53" spans="1:72" s="224" customFormat="1" x14ac:dyDescent="0.3">
      <c r="A53" s="238">
        <f t="shared" si="5"/>
        <v>41</v>
      </c>
      <c r="B53" s="265"/>
      <c r="C53" s="182">
        <v>2</v>
      </c>
      <c r="D53" s="224" t="s">
        <v>230</v>
      </c>
      <c r="G53" s="256">
        <v>0</v>
      </c>
      <c r="H53" s="257">
        <f>1/21</f>
        <v>4.7619047619047616E-2</v>
      </c>
      <c r="I53" s="258">
        <f>I15</f>
        <v>0.99</v>
      </c>
      <c r="J53" s="256">
        <f>G53*H53*I53</f>
        <v>0</v>
      </c>
      <c r="K53" s="256">
        <f>J53</f>
        <v>0</v>
      </c>
      <c r="L53" s="256">
        <v>0</v>
      </c>
      <c r="M53" s="256">
        <v>0</v>
      </c>
      <c r="Z53" s="227"/>
      <c r="AA53" s="238">
        <f t="shared" si="3"/>
        <v>41</v>
      </c>
      <c r="AB53" s="265"/>
      <c r="AC53" s="182">
        <v>2</v>
      </c>
      <c r="AD53" s="224" t="s">
        <v>230</v>
      </c>
      <c r="AG53" s="256">
        <v>0</v>
      </c>
      <c r="AH53" s="257">
        <f>1/21</f>
        <v>4.7619047619047616E-2</v>
      </c>
      <c r="AI53" s="258">
        <f t="shared" si="24"/>
        <v>0.99</v>
      </c>
      <c r="AJ53" s="256">
        <f>AG53*AH53*AI53</f>
        <v>0</v>
      </c>
      <c r="AK53" s="256">
        <f>AJ53</f>
        <v>0</v>
      </c>
      <c r="AL53" s="256">
        <v>0</v>
      </c>
      <c r="AM53" s="256">
        <v>0</v>
      </c>
      <c r="AZ53" s="227"/>
      <c r="BA53" s="238">
        <f t="shared" si="4"/>
        <v>41</v>
      </c>
      <c r="BB53" s="265"/>
      <c r="BC53" s="182">
        <v>2</v>
      </c>
      <c r="BD53" s="224" t="s">
        <v>230</v>
      </c>
      <c r="BG53" s="256">
        <v>0</v>
      </c>
      <c r="BH53" s="257">
        <f>1/21</f>
        <v>4.7619047619047616E-2</v>
      </c>
      <c r="BI53" s="258">
        <f t="shared" si="25"/>
        <v>0.99</v>
      </c>
      <c r="BJ53" s="256">
        <f>BG53*BH53*BI53</f>
        <v>0</v>
      </c>
      <c r="BK53" s="256">
        <f>BJ53</f>
        <v>0</v>
      </c>
      <c r="BL53" s="256">
        <v>0</v>
      </c>
      <c r="BM53" s="256">
        <v>0</v>
      </c>
    </row>
    <row r="54" spans="1:72" s="224" customFormat="1" x14ac:dyDescent="0.3">
      <c r="A54" s="238">
        <f t="shared" si="5"/>
        <v>42</v>
      </c>
      <c r="B54" s="265"/>
      <c r="C54" s="182">
        <v>3</v>
      </c>
      <c r="D54" s="224" t="s">
        <v>165</v>
      </c>
      <c r="G54" s="256">
        <f>+'[8]E13c - Yr5'!$D$690</f>
        <v>2169838.4618065543</v>
      </c>
      <c r="H54" s="257">
        <f>1/21</f>
        <v>4.7619047619047616E-2</v>
      </c>
      <c r="I54" s="258">
        <f>I15</f>
        <v>0.99</v>
      </c>
      <c r="J54" s="256">
        <f>G54*H54*I54</f>
        <v>102292.38462802327</v>
      </c>
      <c r="K54" s="256">
        <f>J54</f>
        <v>102292.38462802327</v>
      </c>
      <c r="L54" s="256">
        <f>J54</f>
        <v>102292.38462802327</v>
      </c>
      <c r="M54" s="256">
        <v>0</v>
      </c>
      <c r="Z54" s="227"/>
      <c r="AA54" s="238">
        <f t="shared" si="3"/>
        <v>42</v>
      </c>
      <c r="AB54" s="265"/>
      <c r="AC54" s="182">
        <v>3</v>
      </c>
      <c r="AD54" s="224" t="s">
        <v>165</v>
      </c>
      <c r="AG54" s="256">
        <f>+'[8]E13c - Yr4'!$D$689</f>
        <v>2165383.2056423929</v>
      </c>
      <c r="AH54" s="257">
        <f>1/21</f>
        <v>4.7619047619047616E-2</v>
      </c>
      <c r="AI54" s="258">
        <f t="shared" si="24"/>
        <v>0.99</v>
      </c>
      <c r="AJ54" s="256">
        <f>AG54*AH54*AI54</f>
        <v>102082.35112314137</v>
      </c>
      <c r="AK54" s="256">
        <f>AJ54</f>
        <v>102082.35112314137</v>
      </c>
      <c r="AL54" s="256">
        <f>AJ54</f>
        <v>102082.35112314137</v>
      </c>
      <c r="AM54" s="256">
        <v>0</v>
      </c>
      <c r="AZ54" s="227"/>
      <c r="BA54" s="238">
        <f t="shared" si="4"/>
        <v>42</v>
      </c>
      <c r="BB54" s="265"/>
      <c r="BC54" s="182">
        <v>3</v>
      </c>
      <c r="BD54" s="224" t="s">
        <v>165</v>
      </c>
      <c r="BG54" s="256">
        <f>+'[8]E13c - Yr3'!$D$690</f>
        <v>2131982.4009088818</v>
      </c>
      <c r="BH54" s="257">
        <f>1/21</f>
        <v>4.7619047619047616E-2</v>
      </c>
      <c r="BI54" s="258">
        <f t="shared" si="25"/>
        <v>0.99</v>
      </c>
      <c r="BJ54" s="256">
        <f>BG54*BH54*BI54</f>
        <v>100507.74175713299</v>
      </c>
      <c r="BK54" s="256">
        <f>BJ54</f>
        <v>100507.74175713299</v>
      </c>
      <c r="BL54" s="256">
        <f>BJ54</f>
        <v>100507.74175713299</v>
      </c>
      <c r="BM54" s="256">
        <v>0</v>
      </c>
    </row>
    <row r="55" spans="1:72" s="224" customFormat="1" x14ac:dyDescent="0.25">
      <c r="A55" s="238">
        <f t="shared" si="5"/>
        <v>43</v>
      </c>
      <c r="B55" s="265"/>
      <c r="C55" s="224" t="s">
        <v>236</v>
      </c>
      <c r="G55" s="256"/>
      <c r="H55" s="256"/>
      <c r="I55" s="258"/>
      <c r="J55" s="256"/>
      <c r="K55" s="256"/>
      <c r="L55" s="256"/>
      <c r="M55" s="256"/>
      <c r="Z55" s="227"/>
      <c r="AA55" s="238">
        <f t="shared" si="3"/>
        <v>43</v>
      </c>
      <c r="AB55" s="265"/>
      <c r="AC55" s="224" t="s">
        <v>236</v>
      </c>
      <c r="AG55" s="256"/>
      <c r="AH55" s="256"/>
      <c r="AI55" s="258"/>
      <c r="AJ55" s="256"/>
      <c r="AK55" s="256"/>
      <c r="AL55" s="256"/>
      <c r="AM55" s="256"/>
      <c r="AZ55" s="227"/>
      <c r="BA55" s="238">
        <f t="shared" si="4"/>
        <v>43</v>
      </c>
      <c r="BB55" s="265"/>
      <c r="BC55" s="224" t="s">
        <v>236</v>
      </c>
      <c r="BG55" s="256"/>
      <c r="BH55" s="256"/>
      <c r="BI55" s="258"/>
      <c r="BJ55" s="256"/>
      <c r="BK55" s="256"/>
      <c r="BL55" s="256"/>
      <c r="BM55" s="256"/>
    </row>
    <row r="56" spans="1:72" s="224" customFormat="1" x14ac:dyDescent="0.25">
      <c r="A56" s="238">
        <f t="shared" si="5"/>
        <v>44</v>
      </c>
      <c r="B56" s="265"/>
      <c r="C56" s="224" t="s">
        <v>237</v>
      </c>
      <c r="D56" s="224" t="s">
        <v>238</v>
      </c>
      <c r="G56" s="262">
        <f>+'[8]E13c - Yr5'!$D$683</f>
        <v>339240</v>
      </c>
      <c r="H56" s="263">
        <v>1</v>
      </c>
      <c r="I56" s="258">
        <f>I15</f>
        <v>0.99</v>
      </c>
      <c r="J56" s="256">
        <f>G56*H56*I56</f>
        <v>335847.6</v>
      </c>
      <c r="K56" s="264">
        <v>0</v>
      </c>
      <c r="L56" s="262">
        <f>J56</f>
        <v>335847.6</v>
      </c>
      <c r="M56" s="262">
        <v>0</v>
      </c>
      <c r="Z56" s="227"/>
      <c r="AA56" s="238">
        <f t="shared" si="3"/>
        <v>44</v>
      </c>
      <c r="AB56" s="265"/>
      <c r="AC56" s="224" t="s">
        <v>237</v>
      </c>
      <c r="AD56" s="224" t="s">
        <v>238</v>
      </c>
      <c r="AG56" s="262">
        <f>+'[8]E13c - Yr4'!$D$683</f>
        <v>339240</v>
      </c>
      <c r="AH56" s="263">
        <v>1</v>
      </c>
      <c r="AI56" s="258">
        <f>+I56</f>
        <v>0.99</v>
      </c>
      <c r="AJ56" s="256">
        <f>AG56*AH56*AI56</f>
        <v>335847.6</v>
      </c>
      <c r="AK56" s="264">
        <v>0</v>
      </c>
      <c r="AL56" s="262">
        <f>AJ56</f>
        <v>335847.6</v>
      </c>
      <c r="AM56" s="262">
        <v>0</v>
      </c>
      <c r="AZ56" s="227"/>
      <c r="BA56" s="238">
        <f t="shared" si="4"/>
        <v>44</v>
      </c>
      <c r="BB56" s="265"/>
      <c r="BC56" s="224" t="s">
        <v>237</v>
      </c>
      <c r="BD56" s="224" t="s">
        <v>238</v>
      </c>
      <c r="BG56" s="262">
        <f>+'[8]E13c - Yr3'!$D$683</f>
        <v>339240</v>
      </c>
      <c r="BH56" s="263">
        <v>1</v>
      </c>
      <c r="BI56" s="258">
        <f>+AI56</f>
        <v>0.99</v>
      </c>
      <c r="BJ56" s="256">
        <f>BG56*BH56*BI56</f>
        <v>335847.6</v>
      </c>
      <c r="BK56" s="264">
        <v>0</v>
      </c>
      <c r="BL56" s="262">
        <f>BJ56</f>
        <v>335847.6</v>
      </c>
      <c r="BM56" s="262">
        <v>0</v>
      </c>
    </row>
    <row r="57" spans="1:72" s="224" customFormat="1" x14ac:dyDescent="0.25">
      <c r="A57" s="238">
        <f t="shared" si="5"/>
        <v>45</v>
      </c>
      <c r="C57" s="224" t="s">
        <v>241</v>
      </c>
      <c r="G57" s="256">
        <f>SUM(G48:G56)</f>
        <v>2730571.7184064565</v>
      </c>
      <c r="H57" s="256"/>
      <c r="I57" s="258"/>
      <c r="J57" s="256"/>
      <c r="K57" s="256">
        <f>SUM(K48:K56)</f>
        <v>121743.53326935203</v>
      </c>
      <c r="L57" s="256">
        <f>SUM(L48:L56)</f>
        <v>444700.71462802321</v>
      </c>
      <c r="M57" s="256">
        <f>SUM(M48:M56)</f>
        <v>0</v>
      </c>
      <c r="Z57" s="227"/>
      <c r="AA57" s="238">
        <f t="shared" si="3"/>
        <v>45</v>
      </c>
      <c r="AC57" s="224" t="s">
        <v>241</v>
      </c>
      <c r="AG57" s="256">
        <f>SUM(AG48:AG56)</f>
        <v>2726023.6068540821</v>
      </c>
      <c r="AH57" s="256"/>
      <c r="AI57" s="258"/>
      <c r="AJ57" s="256"/>
      <c r="AK57" s="256">
        <f>SUM(AK48:AK56)</f>
        <v>121529.1665130202</v>
      </c>
      <c r="AL57" s="256">
        <f>SUM(AL48:AL56)</f>
        <v>444490.68112314132</v>
      </c>
      <c r="AM57" s="256">
        <f>SUM(AM48:AM56)</f>
        <v>0</v>
      </c>
      <c r="AZ57" s="227"/>
      <c r="BA57" s="238">
        <f t="shared" si="4"/>
        <v>45</v>
      </c>
      <c r="BC57" s="224" t="s">
        <v>241</v>
      </c>
      <c r="BG57" s="256">
        <f>SUM(BG48:BG56)</f>
        <v>2691926.6705007777</v>
      </c>
      <c r="BH57" s="256"/>
      <c r="BI57" s="258"/>
      <c r="BJ57" s="256"/>
      <c r="BK57" s="256">
        <f>SUM(BK48:BK56)</f>
        <v>119922.07100475481</v>
      </c>
      <c r="BL57" s="256">
        <f>SUM(BL48:BL56)</f>
        <v>442916.07175713294</v>
      </c>
      <c r="BM57" s="256">
        <f>SUM(BM48:BM56)</f>
        <v>0</v>
      </c>
    </row>
    <row r="58" spans="1:72" s="224" customFormat="1" x14ac:dyDescent="0.25">
      <c r="A58" s="238">
        <f t="shared" si="5"/>
        <v>46</v>
      </c>
      <c r="B58" s="42" t="s">
        <v>242</v>
      </c>
      <c r="C58" s="150" t="s">
        <v>190</v>
      </c>
      <c r="G58" s="256"/>
      <c r="H58" s="256"/>
      <c r="I58" s="258"/>
      <c r="J58" s="256"/>
      <c r="K58" s="256"/>
      <c r="L58" s="256"/>
      <c r="M58" s="256"/>
      <c r="Z58" s="227"/>
      <c r="AA58" s="238">
        <f t="shared" si="3"/>
        <v>46</v>
      </c>
      <c r="AB58" s="42" t="s">
        <v>242</v>
      </c>
      <c r="AC58" s="150" t="s">
        <v>190</v>
      </c>
      <c r="AG58" s="256"/>
      <c r="AH58" s="256"/>
      <c r="AI58" s="258"/>
      <c r="AJ58" s="256"/>
      <c r="AK58" s="256"/>
      <c r="AL58" s="256"/>
      <c r="AM58" s="256"/>
      <c r="AZ58" s="227"/>
      <c r="BA58" s="238">
        <f t="shared" si="4"/>
        <v>46</v>
      </c>
      <c r="BB58" s="42" t="s">
        <v>242</v>
      </c>
      <c r="BC58" s="150" t="s">
        <v>190</v>
      </c>
      <c r="BG58" s="256"/>
      <c r="BH58" s="256"/>
      <c r="BI58" s="258"/>
      <c r="BJ58" s="256"/>
      <c r="BK58" s="256"/>
      <c r="BL58" s="256"/>
      <c r="BM58" s="256"/>
    </row>
    <row r="59" spans="1:72" s="224" customFormat="1" x14ac:dyDescent="0.25">
      <c r="A59" s="238">
        <f t="shared" si="5"/>
        <v>47</v>
      </c>
      <c r="B59" s="265"/>
      <c r="C59" s="224" t="s">
        <v>234</v>
      </c>
      <c r="G59" s="256"/>
      <c r="H59" s="256"/>
      <c r="I59" s="258"/>
      <c r="J59" s="256"/>
      <c r="K59" s="256"/>
      <c r="L59" s="256"/>
      <c r="M59" s="256"/>
      <c r="Z59" s="227"/>
      <c r="AA59" s="238">
        <f t="shared" si="3"/>
        <v>47</v>
      </c>
      <c r="AB59" s="265"/>
      <c r="AC59" s="224" t="s">
        <v>234</v>
      </c>
      <c r="AG59" s="256"/>
      <c r="AH59" s="256"/>
      <c r="AI59" s="258"/>
      <c r="AJ59" s="256"/>
      <c r="AK59" s="256"/>
      <c r="AL59" s="256"/>
      <c r="AM59" s="256"/>
      <c r="AZ59" s="227"/>
      <c r="BA59" s="238">
        <f t="shared" si="4"/>
        <v>47</v>
      </c>
      <c r="BB59" s="265"/>
      <c r="BC59" s="224" t="s">
        <v>234</v>
      </c>
      <c r="BG59" s="256"/>
      <c r="BH59" s="256"/>
      <c r="BI59" s="258"/>
      <c r="BJ59" s="256"/>
      <c r="BK59" s="256"/>
      <c r="BL59" s="256"/>
      <c r="BM59" s="256"/>
    </row>
    <row r="60" spans="1:72" s="224" customFormat="1" x14ac:dyDescent="0.3">
      <c r="A60" s="238">
        <f t="shared" si="5"/>
        <v>48</v>
      </c>
      <c r="B60" s="265"/>
      <c r="C60" s="182">
        <v>1</v>
      </c>
      <c r="D60" s="224" t="s">
        <v>64</v>
      </c>
      <c r="G60" s="256">
        <f>+'[8]E13c - Yr5'!$D$751</f>
        <v>0</v>
      </c>
      <c r="H60" s="258">
        <v>0.1</v>
      </c>
      <c r="I60" s="258">
        <f>I21</f>
        <v>0.98</v>
      </c>
      <c r="J60" s="256">
        <f>G60*H60*I60</f>
        <v>0</v>
      </c>
      <c r="K60" s="256">
        <f>J60</f>
        <v>0</v>
      </c>
      <c r="L60" s="256">
        <v>0</v>
      </c>
      <c r="M60" s="256">
        <v>0</v>
      </c>
      <c r="Z60" s="227"/>
      <c r="AA60" s="238">
        <f t="shared" si="3"/>
        <v>48</v>
      </c>
      <c r="AB60" s="265"/>
      <c r="AC60" s="182">
        <v>1</v>
      </c>
      <c r="AD60" s="224" t="s">
        <v>64</v>
      </c>
      <c r="AG60" s="256">
        <f>+'[8]E13c - Yr4'!$D$751</f>
        <v>0</v>
      </c>
      <c r="AH60" s="258">
        <v>0.1</v>
      </c>
      <c r="AI60" s="258">
        <f t="shared" ref="AI60:AI62" si="26">+I60</f>
        <v>0.98</v>
      </c>
      <c r="AJ60" s="256">
        <f>AG60*AH60*AI60</f>
        <v>0</v>
      </c>
      <c r="AK60" s="256">
        <f>AJ60</f>
        <v>0</v>
      </c>
      <c r="AL60" s="256">
        <v>0</v>
      </c>
      <c r="AM60" s="256">
        <v>0</v>
      </c>
      <c r="AZ60" s="227"/>
      <c r="BA60" s="238">
        <f t="shared" si="4"/>
        <v>48</v>
      </c>
      <c r="BB60" s="265"/>
      <c r="BC60" s="182">
        <v>1</v>
      </c>
      <c r="BD60" s="224" t="s">
        <v>64</v>
      </c>
      <c r="BG60" s="256">
        <f>+'[8]E13c - Yr3'!$D$751</f>
        <v>0</v>
      </c>
      <c r="BH60" s="258">
        <v>0.1</v>
      </c>
      <c r="BI60" s="258">
        <f t="shared" ref="BI60:BI62" si="27">+AI60</f>
        <v>0.98</v>
      </c>
      <c r="BJ60" s="256">
        <f>BG60*BH60*BI60</f>
        <v>0</v>
      </c>
      <c r="BK60" s="256">
        <f>BJ60</f>
        <v>0</v>
      </c>
      <c r="BL60" s="256">
        <v>0</v>
      </c>
      <c r="BM60" s="256">
        <v>0</v>
      </c>
    </row>
    <row r="61" spans="1:72" s="224" customFormat="1" x14ac:dyDescent="0.3">
      <c r="A61" s="238">
        <f t="shared" si="5"/>
        <v>49</v>
      </c>
      <c r="B61" s="265"/>
      <c r="C61" s="182">
        <v>2</v>
      </c>
      <c r="D61" s="224" t="s">
        <v>230</v>
      </c>
      <c r="G61" s="256">
        <v>0</v>
      </c>
      <c r="H61" s="258">
        <v>0.1</v>
      </c>
      <c r="I61" s="258">
        <f>I15</f>
        <v>0.99</v>
      </c>
      <c r="J61" s="256">
        <f>G61*H61*I61</f>
        <v>0</v>
      </c>
      <c r="K61" s="256">
        <f>J61</f>
        <v>0</v>
      </c>
      <c r="L61" s="256">
        <v>0</v>
      </c>
      <c r="M61" s="256">
        <v>0</v>
      </c>
      <c r="Z61" s="227"/>
      <c r="AA61" s="238">
        <f t="shared" si="3"/>
        <v>49</v>
      </c>
      <c r="AB61" s="265"/>
      <c r="AC61" s="182">
        <v>2</v>
      </c>
      <c r="AD61" s="224" t="s">
        <v>230</v>
      </c>
      <c r="AG61" s="256">
        <v>0</v>
      </c>
      <c r="AH61" s="258">
        <v>0.1</v>
      </c>
      <c r="AI61" s="258">
        <f t="shared" si="26"/>
        <v>0.99</v>
      </c>
      <c r="AJ61" s="256">
        <f>AG61*AH61*AI61</f>
        <v>0</v>
      </c>
      <c r="AK61" s="256">
        <f>AJ61</f>
        <v>0</v>
      </c>
      <c r="AL61" s="256">
        <v>0</v>
      </c>
      <c r="AM61" s="256">
        <v>0</v>
      </c>
      <c r="AZ61" s="227"/>
      <c r="BA61" s="238">
        <f t="shared" si="4"/>
        <v>49</v>
      </c>
      <c r="BB61" s="265"/>
      <c r="BC61" s="182">
        <v>2</v>
      </c>
      <c r="BD61" s="224" t="s">
        <v>230</v>
      </c>
      <c r="BG61" s="256">
        <v>0</v>
      </c>
      <c r="BH61" s="258">
        <v>0.1</v>
      </c>
      <c r="BI61" s="258">
        <f t="shared" si="27"/>
        <v>0.99</v>
      </c>
      <c r="BJ61" s="256">
        <f>BG61*BH61*BI61</f>
        <v>0</v>
      </c>
      <c r="BK61" s="256">
        <f>BJ61</f>
        <v>0</v>
      </c>
      <c r="BL61" s="256">
        <v>0</v>
      </c>
      <c r="BM61" s="256">
        <v>0</v>
      </c>
    </row>
    <row r="62" spans="1:72" s="224" customFormat="1" x14ac:dyDescent="0.3">
      <c r="A62" s="238">
        <f t="shared" si="5"/>
        <v>50</v>
      </c>
      <c r="B62" s="265"/>
      <c r="C62" s="182">
        <v>3</v>
      </c>
      <c r="D62" s="224" t="s">
        <v>165</v>
      </c>
      <c r="G62" s="256">
        <f>+'[8]E13c - Yr5'!$D$748</f>
        <v>24693.142</v>
      </c>
      <c r="H62" s="258">
        <v>0.1</v>
      </c>
      <c r="I62" s="258">
        <f>I15</f>
        <v>0.99</v>
      </c>
      <c r="J62" s="256">
        <f>G62*H62*I62</f>
        <v>2444.6210580000002</v>
      </c>
      <c r="K62" s="256">
        <f>J62</f>
        <v>2444.6210580000002</v>
      </c>
      <c r="L62" s="256">
        <f>J62</f>
        <v>2444.6210580000002</v>
      </c>
      <c r="M62" s="256">
        <v>0</v>
      </c>
      <c r="Z62" s="227"/>
      <c r="AA62" s="238">
        <f t="shared" si="3"/>
        <v>50</v>
      </c>
      <c r="AB62" s="265"/>
      <c r="AC62" s="182">
        <v>3</v>
      </c>
      <c r="AD62" s="224" t="s">
        <v>165</v>
      </c>
      <c r="AG62" s="256">
        <f>+'[8]E13c - Yr4'!$D$748</f>
        <v>24693.142</v>
      </c>
      <c r="AH62" s="258">
        <v>0.1</v>
      </c>
      <c r="AI62" s="258">
        <f t="shared" si="26"/>
        <v>0.99</v>
      </c>
      <c r="AJ62" s="256">
        <f>AG62*AH62*AI62</f>
        <v>2444.6210580000002</v>
      </c>
      <c r="AK62" s="256">
        <f>AJ62</f>
        <v>2444.6210580000002</v>
      </c>
      <c r="AL62" s="256">
        <f>AJ62</f>
        <v>2444.6210580000002</v>
      </c>
      <c r="AM62" s="256">
        <v>0</v>
      </c>
      <c r="AZ62" s="227"/>
      <c r="BA62" s="238">
        <f t="shared" si="4"/>
        <v>50</v>
      </c>
      <c r="BB62" s="265"/>
      <c r="BC62" s="182">
        <v>3</v>
      </c>
      <c r="BD62" s="224" t="s">
        <v>165</v>
      </c>
      <c r="BG62" s="256">
        <f>+'[8]E13c - Yr3'!$D$748</f>
        <v>24693.142</v>
      </c>
      <c r="BH62" s="258">
        <v>0.1</v>
      </c>
      <c r="BI62" s="258">
        <f t="shared" si="27"/>
        <v>0.99</v>
      </c>
      <c r="BJ62" s="256">
        <f>BG62*BH62*BI62</f>
        <v>2444.6210580000002</v>
      </c>
      <c r="BK62" s="256">
        <f>BJ62</f>
        <v>2444.6210580000002</v>
      </c>
      <c r="BL62" s="256">
        <f>BJ62</f>
        <v>2444.6210580000002</v>
      </c>
      <c r="BM62" s="256">
        <v>0</v>
      </c>
    </row>
    <row r="63" spans="1:72" s="224" customFormat="1" x14ac:dyDescent="0.25">
      <c r="A63" s="238">
        <f t="shared" si="5"/>
        <v>51</v>
      </c>
      <c r="B63" s="265"/>
      <c r="C63" s="224" t="s">
        <v>235</v>
      </c>
      <c r="G63" s="256"/>
      <c r="H63" s="266"/>
      <c r="I63" s="258"/>
      <c r="J63" s="256"/>
      <c r="K63" s="266"/>
      <c r="L63" s="266"/>
      <c r="M63" s="266"/>
      <c r="Z63" s="227"/>
      <c r="AA63" s="238">
        <f t="shared" si="3"/>
        <v>51</v>
      </c>
      <c r="AB63" s="265"/>
      <c r="AC63" s="224" t="s">
        <v>235</v>
      </c>
      <c r="AG63" s="256"/>
      <c r="AH63" s="266"/>
      <c r="AI63" s="258"/>
      <c r="AJ63" s="256"/>
      <c r="AK63" s="266"/>
      <c r="AL63" s="266"/>
      <c r="AM63" s="266"/>
      <c r="AZ63" s="227"/>
      <c r="BA63" s="238">
        <f t="shared" si="4"/>
        <v>51</v>
      </c>
      <c r="BB63" s="265"/>
      <c r="BC63" s="224" t="s">
        <v>235</v>
      </c>
      <c r="BG63" s="256"/>
      <c r="BH63" s="266"/>
      <c r="BI63" s="258"/>
      <c r="BJ63" s="256"/>
      <c r="BK63" s="266"/>
      <c r="BL63" s="266"/>
      <c r="BM63" s="266"/>
    </row>
    <row r="64" spans="1:72" s="224" customFormat="1" x14ac:dyDescent="0.3">
      <c r="A64" s="238">
        <f t="shared" si="5"/>
        <v>52</v>
      </c>
      <c r="B64" s="265"/>
      <c r="C64" s="182">
        <v>1</v>
      </c>
      <c r="D64" s="224" t="s">
        <v>64</v>
      </c>
      <c r="G64" s="256">
        <f>+'[8]E13c - Yr5'!$D$752</f>
        <v>0</v>
      </c>
      <c r="H64" s="257">
        <f>1/21</f>
        <v>4.7619047619047616E-2</v>
      </c>
      <c r="I64" s="258">
        <f>I21</f>
        <v>0.98</v>
      </c>
      <c r="J64" s="256">
        <f>G64*H64*I64</f>
        <v>0</v>
      </c>
      <c r="K64" s="256">
        <f>J64</f>
        <v>0</v>
      </c>
      <c r="L64" s="256">
        <v>0</v>
      </c>
      <c r="M64" s="256">
        <v>0</v>
      </c>
      <c r="Z64" s="227"/>
      <c r="AA64" s="238">
        <f t="shared" si="3"/>
        <v>52</v>
      </c>
      <c r="AB64" s="265"/>
      <c r="AC64" s="182">
        <v>1</v>
      </c>
      <c r="AD64" s="224" t="s">
        <v>64</v>
      </c>
      <c r="AG64" s="256">
        <f>+'[8]E13c - Yr4'!$D$752</f>
        <v>0</v>
      </c>
      <c r="AH64" s="257">
        <f>1/21</f>
        <v>4.7619047619047616E-2</v>
      </c>
      <c r="AI64" s="258">
        <f t="shared" ref="AI64:AI66" si="28">+I64</f>
        <v>0.98</v>
      </c>
      <c r="AJ64" s="256">
        <f>AG64*AH64*AI64</f>
        <v>0</v>
      </c>
      <c r="AK64" s="256">
        <f>AJ64</f>
        <v>0</v>
      </c>
      <c r="AL64" s="256">
        <v>0</v>
      </c>
      <c r="AM64" s="256">
        <v>0</v>
      </c>
      <c r="AZ64" s="227"/>
      <c r="BA64" s="238">
        <f t="shared" si="4"/>
        <v>52</v>
      </c>
      <c r="BB64" s="265"/>
      <c r="BC64" s="182">
        <v>1</v>
      </c>
      <c r="BD64" s="224" t="s">
        <v>64</v>
      </c>
      <c r="BG64" s="256">
        <f>+'[8]E13c - Yr3'!$D$752</f>
        <v>0</v>
      </c>
      <c r="BH64" s="257">
        <f>1/21</f>
        <v>4.7619047619047616E-2</v>
      </c>
      <c r="BI64" s="258">
        <f t="shared" ref="BI64:BI66" si="29">+AI64</f>
        <v>0.98</v>
      </c>
      <c r="BJ64" s="256">
        <f>BG64*BH64*BI64</f>
        <v>0</v>
      </c>
      <c r="BK64" s="256">
        <f>BJ64</f>
        <v>0</v>
      </c>
      <c r="BL64" s="256">
        <v>0</v>
      </c>
      <c r="BM64" s="256">
        <v>0</v>
      </c>
    </row>
    <row r="65" spans="1:76" s="224" customFormat="1" x14ac:dyDescent="0.3">
      <c r="A65" s="238">
        <f t="shared" si="5"/>
        <v>53</v>
      </c>
      <c r="B65" s="265"/>
      <c r="C65" s="182">
        <v>2</v>
      </c>
      <c r="D65" s="224" t="s">
        <v>230</v>
      </c>
      <c r="G65" s="256">
        <v>0</v>
      </c>
      <c r="H65" s="257">
        <f>1/21</f>
        <v>4.7619047619047616E-2</v>
      </c>
      <c r="I65" s="258">
        <f>I15</f>
        <v>0.99</v>
      </c>
      <c r="J65" s="256">
        <f>G65*H65*I65</f>
        <v>0</v>
      </c>
      <c r="K65" s="256">
        <f>J65</f>
        <v>0</v>
      </c>
      <c r="L65" s="256">
        <v>0</v>
      </c>
      <c r="M65" s="256">
        <v>0</v>
      </c>
      <c r="Z65" s="227"/>
      <c r="AA65" s="238">
        <f t="shared" si="3"/>
        <v>53</v>
      </c>
      <c r="AB65" s="265"/>
      <c r="AC65" s="182">
        <v>2</v>
      </c>
      <c r="AD65" s="224" t="s">
        <v>230</v>
      </c>
      <c r="AG65" s="256">
        <v>0</v>
      </c>
      <c r="AH65" s="257">
        <f>1/21</f>
        <v>4.7619047619047616E-2</v>
      </c>
      <c r="AI65" s="258">
        <f t="shared" si="28"/>
        <v>0.99</v>
      </c>
      <c r="AJ65" s="256">
        <f>AG65*AH65*AI65</f>
        <v>0</v>
      </c>
      <c r="AK65" s="256">
        <f>AJ65</f>
        <v>0</v>
      </c>
      <c r="AL65" s="256">
        <v>0</v>
      </c>
      <c r="AM65" s="256">
        <v>0</v>
      </c>
      <c r="AZ65" s="227"/>
      <c r="BA65" s="238">
        <f t="shared" si="4"/>
        <v>53</v>
      </c>
      <c r="BB65" s="265"/>
      <c r="BC65" s="182">
        <v>2</v>
      </c>
      <c r="BD65" s="224" t="s">
        <v>230</v>
      </c>
      <c r="BG65" s="256">
        <v>0</v>
      </c>
      <c r="BH65" s="257">
        <f>1/21</f>
        <v>4.7619047619047616E-2</v>
      </c>
      <c r="BI65" s="258">
        <f t="shared" si="29"/>
        <v>0.99</v>
      </c>
      <c r="BJ65" s="256">
        <f>BG65*BH65*BI65</f>
        <v>0</v>
      </c>
      <c r="BK65" s="256">
        <f>BJ65</f>
        <v>0</v>
      </c>
      <c r="BL65" s="256">
        <v>0</v>
      </c>
      <c r="BM65" s="256">
        <v>0</v>
      </c>
    </row>
    <row r="66" spans="1:76" s="224" customFormat="1" x14ac:dyDescent="0.3">
      <c r="A66" s="238">
        <f t="shared" si="5"/>
        <v>54</v>
      </c>
      <c r="B66" s="265"/>
      <c r="C66" s="182">
        <v>3</v>
      </c>
      <c r="D66" s="224" t="s">
        <v>165</v>
      </c>
      <c r="G66" s="256">
        <f>+'[8]E13c - Yr5'!$D$749</f>
        <v>4978726.1907929899</v>
      </c>
      <c r="H66" s="257">
        <f>1/21</f>
        <v>4.7619047619047616E-2</v>
      </c>
      <c r="I66" s="258">
        <f>I15</f>
        <v>0.99</v>
      </c>
      <c r="J66" s="256">
        <f>G66*H66*I66</f>
        <v>234711.37756595525</v>
      </c>
      <c r="K66" s="256">
        <f>J66</f>
        <v>234711.37756595525</v>
      </c>
      <c r="L66" s="256">
        <f>J66</f>
        <v>234711.37756595525</v>
      </c>
      <c r="M66" s="256">
        <v>0</v>
      </c>
      <c r="Z66" s="227"/>
      <c r="AA66" s="238">
        <f t="shared" si="3"/>
        <v>54</v>
      </c>
      <c r="AB66" s="265"/>
      <c r="AC66" s="182">
        <v>3</v>
      </c>
      <c r="AD66" s="224" t="s">
        <v>165</v>
      </c>
      <c r="AG66" s="256">
        <f>+'[8]E13c - Yr4'!$D$749</f>
        <v>4972035.6140713263</v>
      </c>
      <c r="AH66" s="257">
        <f>1/21</f>
        <v>4.7619047619047616E-2</v>
      </c>
      <c r="AI66" s="258">
        <f t="shared" si="28"/>
        <v>0.99</v>
      </c>
      <c r="AJ66" s="256">
        <f>AG66*AH66*AI66</f>
        <v>234395.96466336251</v>
      </c>
      <c r="AK66" s="256">
        <f>AJ66</f>
        <v>234395.96466336251</v>
      </c>
      <c r="AL66" s="256">
        <f>AJ66</f>
        <v>234395.96466336251</v>
      </c>
      <c r="AM66" s="256">
        <v>0</v>
      </c>
      <c r="AZ66" s="227"/>
      <c r="BA66" s="238">
        <f t="shared" si="4"/>
        <v>54</v>
      </c>
      <c r="BB66" s="265"/>
      <c r="BC66" s="182">
        <v>3</v>
      </c>
      <c r="BD66" s="224" t="s">
        <v>165</v>
      </c>
      <c r="BG66" s="256">
        <f>+'[8]E13c - Yr3'!$D$749</f>
        <v>4889592.1428231634</v>
      </c>
      <c r="BH66" s="257">
        <f>1/21</f>
        <v>4.7619047619047616E-2</v>
      </c>
      <c r="BI66" s="258">
        <f t="shared" si="29"/>
        <v>0.99</v>
      </c>
      <c r="BJ66" s="256">
        <f>BG66*BH66*BI66</f>
        <v>230509.34387594913</v>
      </c>
      <c r="BK66" s="256">
        <f>BJ66</f>
        <v>230509.34387594913</v>
      </c>
      <c r="BL66" s="256">
        <f>BJ66</f>
        <v>230509.34387594913</v>
      </c>
      <c r="BM66" s="256">
        <v>0</v>
      </c>
    </row>
    <row r="67" spans="1:76" s="224" customFormat="1" x14ac:dyDescent="0.25">
      <c r="A67" s="238">
        <f t="shared" si="5"/>
        <v>55</v>
      </c>
      <c r="B67" s="265"/>
      <c r="C67" s="224" t="s">
        <v>236</v>
      </c>
      <c r="G67" s="256"/>
      <c r="H67" s="256"/>
      <c r="I67" s="258"/>
      <c r="J67" s="256"/>
      <c r="K67" s="256"/>
      <c r="L67" s="256"/>
      <c r="M67" s="256"/>
      <c r="Z67" s="227"/>
      <c r="AA67" s="238">
        <f t="shared" si="3"/>
        <v>55</v>
      </c>
      <c r="AB67" s="265"/>
      <c r="AC67" s="224" t="s">
        <v>236</v>
      </c>
      <c r="AG67" s="256"/>
      <c r="AH67" s="256"/>
      <c r="AI67" s="258"/>
      <c r="AJ67" s="256"/>
      <c r="AK67" s="256"/>
      <c r="AL67" s="256"/>
      <c r="AM67" s="256"/>
      <c r="AZ67" s="227"/>
      <c r="BA67" s="238">
        <f t="shared" si="4"/>
        <v>55</v>
      </c>
      <c r="BB67" s="265"/>
      <c r="BC67" s="224" t="s">
        <v>236</v>
      </c>
      <c r="BG67" s="256"/>
      <c r="BH67" s="256"/>
      <c r="BI67" s="258"/>
      <c r="BJ67" s="256"/>
      <c r="BK67" s="256"/>
      <c r="BL67" s="256"/>
      <c r="BM67" s="256"/>
    </row>
    <row r="68" spans="1:76" s="224" customFormat="1" x14ac:dyDescent="0.25">
      <c r="A68" s="238">
        <f t="shared" si="5"/>
        <v>56</v>
      </c>
      <c r="B68" s="265"/>
      <c r="C68" s="224" t="s">
        <v>237</v>
      </c>
      <c r="D68" s="224" t="s">
        <v>238</v>
      </c>
      <c r="G68" s="262">
        <f>+'[8]E13c - Yr5'!$D$743</f>
        <v>296317.70399999997</v>
      </c>
      <c r="H68" s="263">
        <v>1</v>
      </c>
      <c r="I68" s="258">
        <f>I15</f>
        <v>0.99</v>
      </c>
      <c r="J68" s="256">
        <f>G68*H68*I68</f>
        <v>293354.52695999999</v>
      </c>
      <c r="K68" s="264">
        <v>0</v>
      </c>
      <c r="L68" s="262">
        <f>J68</f>
        <v>293354.52695999999</v>
      </c>
      <c r="M68" s="262">
        <v>0</v>
      </c>
      <c r="Z68" s="227"/>
      <c r="AA68" s="238">
        <f t="shared" si="3"/>
        <v>56</v>
      </c>
      <c r="AB68" s="265"/>
      <c r="AC68" s="224" t="s">
        <v>237</v>
      </c>
      <c r="AD68" s="224" t="s">
        <v>238</v>
      </c>
      <c r="AG68" s="262">
        <f>+'[8]E13c - Yr4'!$D$743</f>
        <v>296317.70399999997</v>
      </c>
      <c r="AH68" s="263">
        <v>1</v>
      </c>
      <c r="AI68" s="258">
        <f>+I68</f>
        <v>0.99</v>
      </c>
      <c r="AJ68" s="256">
        <f>AG68*AH68*AI68</f>
        <v>293354.52695999999</v>
      </c>
      <c r="AK68" s="264">
        <v>0</v>
      </c>
      <c r="AL68" s="262">
        <f>AJ68</f>
        <v>293354.52695999999</v>
      </c>
      <c r="AM68" s="262">
        <v>0</v>
      </c>
      <c r="AZ68" s="227"/>
      <c r="BA68" s="238">
        <f t="shared" si="4"/>
        <v>56</v>
      </c>
      <c r="BB68" s="265"/>
      <c r="BC68" s="224" t="s">
        <v>237</v>
      </c>
      <c r="BD68" s="224" t="s">
        <v>238</v>
      </c>
      <c r="BG68" s="262">
        <f>+'[8]E13c - Yr3'!$D$743</f>
        <v>296317.70399999997</v>
      </c>
      <c r="BH68" s="263">
        <v>1</v>
      </c>
      <c r="BI68" s="258">
        <f>+AI68</f>
        <v>0.99</v>
      </c>
      <c r="BJ68" s="256">
        <f>BG68*BH68*BI68</f>
        <v>293354.52695999999</v>
      </c>
      <c r="BK68" s="264">
        <v>0</v>
      </c>
      <c r="BL68" s="262">
        <f>BJ68</f>
        <v>293354.52695999999</v>
      </c>
      <c r="BM68" s="262">
        <v>0</v>
      </c>
    </row>
    <row r="69" spans="1:76" s="224" customFormat="1" x14ac:dyDescent="0.25">
      <c r="A69" s="238">
        <f t="shared" si="5"/>
        <v>57</v>
      </c>
      <c r="C69" s="224" t="s">
        <v>243</v>
      </c>
      <c r="G69" s="256">
        <f>SUM(G60:G68)</f>
        <v>5299737.0367929898</v>
      </c>
      <c r="H69" s="256"/>
      <c r="I69" s="256"/>
      <c r="J69" s="256"/>
      <c r="K69" s="256">
        <f>SUM(K60:K68)</f>
        <v>237155.99862395524</v>
      </c>
      <c r="L69" s="256">
        <f>SUM(L60:L68)</f>
        <v>530510.52558395523</v>
      </c>
      <c r="M69" s="256">
        <f>SUM(M60:M68)</f>
        <v>0</v>
      </c>
      <c r="Z69" s="227"/>
      <c r="AA69" s="238">
        <f t="shared" si="3"/>
        <v>57</v>
      </c>
      <c r="AC69" s="224" t="s">
        <v>243</v>
      </c>
      <c r="AG69" s="256">
        <f>SUM(AG60:AG68)</f>
        <v>5293046.4600713262</v>
      </c>
      <c r="AH69" s="256"/>
      <c r="AI69" s="256"/>
      <c r="AJ69" s="256"/>
      <c r="AK69" s="256">
        <f>SUM(AK60:AK68)</f>
        <v>236840.5857213625</v>
      </c>
      <c r="AL69" s="256">
        <f>SUM(AL60:AL68)</f>
        <v>530195.11268136255</v>
      </c>
      <c r="AM69" s="256">
        <f>SUM(AM60:AM68)</f>
        <v>0</v>
      </c>
      <c r="AZ69" s="227"/>
      <c r="BA69" s="238">
        <f t="shared" si="4"/>
        <v>57</v>
      </c>
      <c r="BC69" s="224" t="s">
        <v>243</v>
      </c>
      <c r="BG69" s="256">
        <f>SUM(BG60:BG68)</f>
        <v>5210602.9888231633</v>
      </c>
      <c r="BH69" s="256"/>
      <c r="BI69" s="256"/>
      <c r="BJ69" s="256"/>
      <c r="BK69" s="256">
        <f>SUM(BK60:BK68)</f>
        <v>232953.96493394912</v>
      </c>
      <c r="BL69" s="256">
        <f>SUM(BL60:BL68)</f>
        <v>526308.4918939491</v>
      </c>
      <c r="BM69" s="256">
        <f>SUM(BM60:BM68)</f>
        <v>0</v>
      </c>
    </row>
    <row r="70" spans="1:76" s="224" customFormat="1" x14ac:dyDescent="0.25">
      <c r="A70" s="238">
        <f t="shared" si="5"/>
        <v>58</v>
      </c>
      <c r="B70" s="267" t="s">
        <v>244</v>
      </c>
      <c r="M70" s="265"/>
      <c r="Z70" s="227"/>
      <c r="AA70" s="238">
        <f t="shared" si="3"/>
        <v>58</v>
      </c>
      <c r="AB70" s="267" t="s">
        <v>244</v>
      </c>
      <c r="AM70" s="265"/>
      <c r="AZ70" s="227"/>
      <c r="BA70" s="238">
        <f t="shared" si="4"/>
        <v>58</v>
      </c>
      <c r="BB70" s="267" t="s">
        <v>244</v>
      </c>
      <c r="BM70" s="265"/>
    </row>
    <row r="71" spans="1:76" s="224" customFormat="1" x14ac:dyDescent="0.25">
      <c r="A71" s="238">
        <f t="shared" si="5"/>
        <v>59</v>
      </c>
      <c r="B71" s="268"/>
      <c r="C71" s="224" t="s">
        <v>245</v>
      </c>
      <c r="D71" s="268"/>
      <c r="E71" s="268"/>
      <c r="F71" s="269"/>
      <c r="G71" s="256">
        <f>G19+G45</f>
        <v>40066606.73647283</v>
      </c>
      <c r="H71" s="268"/>
      <c r="K71" s="256">
        <f>K19+K45</f>
        <v>37329697.834919058</v>
      </c>
      <c r="L71" s="256">
        <f>L19+L45</f>
        <v>36582879.48426795</v>
      </c>
      <c r="M71" s="256">
        <f>M19+M45</f>
        <v>31824110.244892307</v>
      </c>
      <c r="Z71" s="227"/>
      <c r="AA71" s="238">
        <f t="shared" si="3"/>
        <v>59</v>
      </c>
      <c r="AB71" s="268"/>
      <c r="AC71" s="224" t="s">
        <v>245</v>
      </c>
      <c r="AD71" s="268"/>
      <c r="AE71" s="268"/>
      <c r="AF71" s="269"/>
      <c r="AG71" s="256">
        <f>AG19+AG45</f>
        <v>39821860.031908996</v>
      </c>
      <c r="AH71" s="268"/>
      <c r="AK71" s="256">
        <f>AK19+AK45</f>
        <v>37106294.40702457</v>
      </c>
      <c r="AL71" s="256">
        <f>AL19+AL45</f>
        <v>36365320.400203697</v>
      </c>
      <c r="AM71" s="256">
        <f>AM19+AM45</f>
        <v>31633844.239382818</v>
      </c>
      <c r="AZ71" s="227"/>
      <c r="BA71" s="238">
        <f t="shared" si="4"/>
        <v>59</v>
      </c>
      <c r="BB71" s="268"/>
      <c r="BC71" s="224" t="s">
        <v>245</v>
      </c>
      <c r="BD71" s="268"/>
      <c r="BE71" s="268"/>
      <c r="BF71" s="269"/>
      <c r="BG71" s="256">
        <f>BG19+BG45</f>
        <v>39621084.817359187</v>
      </c>
      <c r="BH71" s="268"/>
      <c r="BK71" s="256">
        <f>BK19+BK45</f>
        <v>36922246.206059702</v>
      </c>
      <c r="BL71" s="256">
        <f>BL19+BL45</f>
        <v>36186085.319537759</v>
      </c>
      <c r="BM71" s="256">
        <f>BM19+BM45</f>
        <v>31477059.670374885</v>
      </c>
    </row>
    <row r="72" spans="1:76" s="224" customFormat="1" x14ac:dyDescent="0.25">
      <c r="A72" s="238">
        <f t="shared" si="5"/>
        <v>60</v>
      </c>
      <c r="C72" s="224" t="s">
        <v>246</v>
      </c>
      <c r="G72" s="256">
        <f>G24+G69</f>
        <v>5547690.9193871412</v>
      </c>
      <c r="K72" s="256">
        <f>K24+K69</f>
        <v>482630.34239216545</v>
      </c>
      <c r="L72" s="256">
        <f>L24+L69</f>
        <v>775984.86935216538</v>
      </c>
      <c r="M72" s="256">
        <f>M24+M69</f>
        <v>0</v>
      </c>
      <c r="Z72" s="227"/>
      <c r="AA72" s="238">
        <f t="shared" si="3"/>
        <v>60</v>
      </c>
      <c r="AC72" s="224" t="s">
        <v>246</v>
      </c>
      <c r="AG72" s="256">
        <f>AG24+AG69</f>
        <v>5539661.2807053654</v>
      </c>
      <c r="AK72" s="256">
        <f>AK24+AK69</f>
        <v>480989.25814906077</v>
      </c>
      <c r="AL72" s="256">
        <f>AL24+AL69</f>
        <v>774343.78510906082</v>
      </c>
      <c r="AM72" s="256">
        <f>AM24+AM69</f>
        <v>0</v>
      </c>
      <c r="AZ72" s="227"/>
      <c r="BA72" s="238">
        <f t="shared" si="4"/>
        <v>60</v>
      </c>
      <c r="BC72" s="224" t="s">
        <v>246</v>
      </c>
      <c r="BG72" s="256">
        <f>BG24+BG69</f>
        <v>5454748.387182544</v>
      </c>
      <c r="BK72" s="256">
        <f>BK24+BK69</f>
        <v>474657.90930973575</v>
      </c>
      <c r="BL72" s="256">
        <f>BL24+BL69</f>
        <v>768012.43626973568</v>
      </c>
      <c r="BM72" s="256">
        <f>BM24+BM69</f>
        <v>0</v>
      </c>
    </row>
    <row r="73" spans="1:76" s="224" customFormat="1" x14ac:dyDescent="0.25">
      <c r="A73" s="238">
        <f t="shared" si="5"/>
        <v>61</v>
      </c>
      <c r="C73" s="224" t="s">
        <v>198</v>
      </c>
      <c r="G73" s="256">
        <f>G33+G57</f>
        <v>10255770.772034574</v>
      </c>
      <c r="K73" s="256">
        <f>K33+K57</f>
        <v>7550300.3253357923</v>
      </c>
      <c r="L73" s="256">
        <f>L33+L57</f>
        <v>4254024.85173037</v>
      </c>
      <c r="M73" s="256">
        <f>M33+M57</f>
        <v>814009.41137036704</v>
      </c>
      <c r="Z73" s="227"/>
      <c r="AA73" s="238">
        <f t="shared" si="3"/>
        <v>61</v>
      </c>
      <c r="AC73" s="224" t="s">
        <v>198</v>
      </c>
      <c r="AG73" s="256">
        <f>AG33+AG57</f>
        <v>10238531.675272472</v>
      </c>
      <c r="AK73" s="256">
        <f>AK33+AK57</f>
        <v>7537557.9571663588</v>
      </c>
      <c r="AL73" s="256">
        <f>AL33+AL57</f>
        <v>4247390.5261983275</v>
      </c>
      <c r="AM73" s="256">
        <f>AM33+AM57</f>
        <v>812636.61294647702</v>
      </c>
      <c r="AZ73" s="227"/>
      <c r="BA73" s="238">
        <f t="shared" si="4"/>
        <v>61</v>
      </c>
      <c r="BC73" s="224" t="s">
        <v>198</v>
      </c>
      <c r="BG73" s="256">
        <f>BG33+BG57</f>
        <v>10107264.632369524</v>
      </c>
      <c r="BK73" s="256">
        <f>BK33+BK57</f>
        <v>7440028.660816486</v>
      </c>
      <c r="BL73" s="256">
        <f>BL33+BL57</f>
        <v>4196627.5259809289</v>
      </c>
      <c r="BM73" s="256">
        <f>BM33+BM57</f>
        <v>802125.61108837486</v>
      </c>
    </row>
    <row r="74" spans="1:76" s="224" customFormat="1" x14ac:dyDescent="0.25">
      <c r="A74" s="238">
        <f t="shared" si="5"/>
        <v>62</v>
      </c>
      <c r="C74" s="224" t="s">
        <v>200</v>
      </c>
      <c r="G74" s="256">
        <f>SUM(G71:G73)</f>
        <v>55870068.427894548</v>
      </c>
      <c r="K74" s="256">
        <f>SUM(K71:K73)</f>
        <v>45362628.50264702</v>
      </c>
      <c r="L74" s="256">
        <f>SUM(L71:L73)</f>
        <v>41612889.205350481</v>
      </c>
      <c r="M74" s="256">
        <f>SUM(M71:M73)</f>
        <v>32638119.656262673</v>
      </c>
      <c r="Z74" s="227"/>
      <c r="AA74" s="238">
        <f t="shared" si="3"/>
        <v>62</v>
      </c>
      <c r="AC74" s="224" t="s">
        <v>200</v>
      </c>
      <c r="AG74" s="256">
        <f>SUM(AG71:AG73)</f>
        <v>55600052.987886831</v>
      </c>
      <c r="AK74" s="256">
        <f>SUM(AK71:AK73)</f>
        <v>45124841.622339986</v>
      </c>
      <c r="AL74" s="256">
        <f>SUM(AL71:AL73)</f>
        <v>41387054.711511083</v>
      </c>
      <c r="AM74" s="256">
        <f>SUM(AM71:AM73)</f>
        <v>32446480.852329295</v>
      </c>
      <c r="AZ74" s="227"/>
      <c r="BA74" s="238">
        <f t="shared" si="4"/>
        <v>62</v>
      </c>
      <c r="BC74" s="224" t="s">
        <v>200</v>
      </c>
      <c r="BG74" s="256">
        <f>SUM(BG71:BG73)</f>
        <v>55183097.836911254</v>
      </c>
      <c r="BK74" s="256">
        <f>SUM(BK71:BK73)</f>
        <v>44836932.776185922</v>
      </c>
      <c r="BL74" s="256">
        <f>SUM(BL71:BL73)</f>
        <v>41150725.281788424</v>
      </c>
      <c r="BM74" s="256">
        <f>SUM(BM71:BM73)</f>
        <v>32279185.281463262</v>
      </c>
    </row>
    <row r="75" spans="1:76" x14ac:dyDescent="0.3">
      <c r="A75" s="238">
        <f t="shared" si="5"/>
        <v>63</v>
      </c>
      <c r="B75" s="24"/>
      <c r="C75" s="25"/>
      <c r="D75" s="26"/>
      <c r="E75" s="270"/>
      <c r="F75" s="270"/>
      <c r="G75" s="270"/>
      <c r="H75" s="26"/>
      <c r="I75" s="26"/>
      <c r="J75" s="26"/>
      <c r="K75" s="26"/>
      <c r="L75" s="26"/>
      <c r="M75" s="271" t="s">
        <v>31</v>
      </c>
      <c r="N75" s="23"/>
      <c r="O75" s="24"/>
      <c r="Q75" s="11"/>
      <c r="R75" s="224"/>
      <c r="S75" s="224"/>
      <c r="U75" s="167"/>
      <c r="V75" s="167"/>
      <c r="W75" s="167"/>
      <c r="X75" s="167"/>
      <c r="Y75" s="167"/>
      <c r="Z75" s="170"/>
      <c r="AA75" s="238">
        <f t="shared" si="3"/>
        <v>63</v>
      </c>
      <c r="AB75" s="24"/>
      <c r="AC75" s="25"/>
      <c r="AD75" s="26"/>
      <c r="AE75" s="270"/>
      <c r="AF75" s="270"/>
      <c r="AG75" s="270"/>
      <c r="AH75" s="26"/>
      <c r="AI75" s="26"/>
      <c r="AJ75" s="26"/>
      <c r="AK75" s="26"/>
      <c r="AL75" s="26"/>
      <c r="AM75" s="271" t="s">
        <v>31</v>
      </c>
      <c r="AN75" s="23"/>
      <c r="AO75" s="24"/>
      <c r="AQ75" s="11"/>
      <c r="AR75" s="224"/>
      <c r="AS75" s="224"/>
      <c r="AU75" s="150"/>
      <c r="AV75" s="150"/>
      <c r="AW75" s="150"/>
      <c r="AX75" s="150"/>
      <c r="AY75" s="167"/>
      <c r="AZ75" s="170"/>
      <c r="BA75" s="238">
        <f t="shared" si="4"/>
        <v>63</v>
      </c>
      <c r="BB75" s="24"/>
      <c r="BC75" s="25"/>
      <c r="BD75" s="26"/>
      <c r="BE75" s="270"/>
      <c r="BF75" s="270"/>
      <c r="BG75" s="270"/>
      <c r="BH75" s="26"/>
      <c r="BI75" s="26"/>
      <c r="BJ75" s="26"/>
      <c r="BK75" s="26"/>
      <c r="BL75" s="26"/>
      <c r="BM75" s="271" t="s">
        <v>31</v>
      </c>
      <c r="BN75" s="23"/>
      <c r="BO75" s="24"/>
      <c r="BQ75" s="11"/>
      <c r="BR75" s="224"/>
      <c r="BS75" s="224"/>
      <c r="BU75" s="167"/>
      <c r="BV75" s="167"/>
      <c r="BW75" s="167"/>
      <c r="BX75" s="167"/>
    </row>
    <row r="76" spans="1:76" s="224" customFormat="1" x14ac:dyDescent="0.3">
      <c r="E76" s="122"/>
      <c r="F76" s="272"/>
      <c r="G76" s="273">
        <f>+G74-'[8]E13c Summary - All Years'!$F$43+SUM('[8]E13c Summary - All Years'!$F$40:$F$42)</f>
        <v>10839433.69751405</v>
      </c>
      <c r="Z76" s="227"/>
      <c r="AE76" s="122"/>
      <c r="AF76" s="272"/>
      <c r="AG76" s="273">
        <f>+AG74-'[8]E13c Summary - All Years'!$E$43+SUM('[8]E13c Summary - All Years'!$E$40:$E$42)</f>
        <v>10806198.671670489</v>
      </c>
      <c r="AZ76" s="227"/>
      <c r="BE76" s="122"/>
      <c r="BF76" s="272"/>
      <c r="BG76" s="273">
        <f>+BG74-'[8]E13c Summary - All Years'!$D$43+SUM('[8]E13c Summary - All Years'!$D$40:$D$42)</f>
        <v>10672435.65100491</v>
      </c>
    </row>
    <row r="77" spans="1:76" s="224" customFormat="1" x14ac:dyDescent="0.25">
      <c r="F77" s="224" t="s">
        <v>247</v>
      </c>
      <c r="G77" s="356">
        <f>SUM('[8]E13c - Yr5'!$J$622,'[8]E13c - Yr5'!$J$627,'[8]E13c - Yr5'!$J$628,'[8]E13c - Yr5'!$J$630,'[8]E13c - Yr5'!$J$631)</f>
        <v>2809124.9423146094</v>
      </c>
      <c r="AF77" s="224" t="s">
        <v>247</v>
      </c>
      <c r="AG77" s="356">
        <f>SUM('[8]E13c - Yr4'!$J$622,'[8]E13c - Yr4'!$J$627,'[8]E13c - Yr4'!$J$628,'[8]E13c - Yr4'!$J$630,'[8]E13c - Yr4'!$J$631)</f>
        <v>2787128.6047450728</v>
      </c>
      <c r="BF77" s="224" t="s">
        <v>247</v>
      </c>
      <c r="BG77" s="356">
        <f>SUM('[8]E13c - Yr3'!$J$622,'[8]E13c - Yr3'!$J$627,'[8]E13c - Yr3'!$J$628,'[8]E13c - Yr3'!$J$630,'[8]E13c - Yr3'!$J$631)</f>
        <v>2769905.9916809802</v>
      </c>
    </row>
    <row r="78" spans="1:76" s="224" customFormat="1" x14ac:dyDescent="0.25">
      <c r="F78" s="224" t="s">
        <v>248</v>
      </c>
      <c r="G78" s="356">
        <f>SUM('[8]E13c - Yr5'!$J$683,'[8]E13c - Yr5'!$J$689,'[8]E13c - Yr5'!$J$690,'[8]E13c - Yr5'!$J$692,'[8]E13c - Yr5'!$J$693)</f>
        <v>2730571.7184064565</v>
      </c>
      <c r="AF78" s="224" t="s">
        <v>248</v>
      </c>
      <c r="AG78" s="356">
        <f>SUM('[8]E13c - Yr4'!$J$683,'[8]E13c - Yr4'!$J$688:$J$692)</f>
        <v>2726023.6068540821</v>
      </c>
      <c r="BF78" s="224" t="s">
        <v>248</v>
      </c>
      <c r="BG78" s="356">
        <f>SUM('[8]E13c - Yr3'!$J$683,'[8]E13c - Yr3'!$J$689,'[8]E13c - Yr3'!$J$690,'[8]E13c - Yr3'!$J$692,'[8]E13c - Yr3'!$J$693)</f>
        <v>2691926.6705007777</v>
      </c>
    </row>
    <row r="79" spans="1:76" s="224" customFormat="1" x14ac:dyDescent="0.25">
      <c r="F79" s="224" t="s">
        <v>249</v>
      </c>
      <c r="G79" s="356">
        <f>SUM('[8]E13c - Yr5'!$J$743,'[8]E13c - Yr5'!$J$748,'[8]E13c - Yr5'!$J$749)</f>
        <v>5299737.0367929898</v>
      </c>
      <c r="AF79" s="224" t="s">
        <v>249</v>
      </c>
      <c r="AG79" s="356">
        <f>SUM('[8]E13c - Yr4'!$J$743,'[8]E13c - Yr4'!$J$748,'[8]E13c - Yr4'!$J$749)</f>
        <v>5293046.4600713262</v>
      </c>
      <c r="BF79" s="224" t="s">
        <v>249</v>
      </c>
      <c r="BG79" s="356">
        <f>SUM('[8]E13c - Yr3'!$J$743,'[8]E13c - Yr3'!$J$748,'[8]E13c - Yr3'!$J$749)</f>
        <v>5210602.9888231633</v>
      </c>
    </row>
    <row r="80" spans="1:76" s="224" customFormat="1" x14ac:dyDescent="0.3">
      <c r="E80" s="274"/>
      <c r="F80" s="275" t="s">
        <v>201</v>
      </c>
      <c r="G80" s="276">
        <f>G76-SUM(G77:G79)</f>
        <v>0</v>
      </c>
      <c r="AE80" s="274"/>
      <c r="AF80" s="275" t="s">
        <v>201</v>
      </c>
      <c r="AG80" s="276">
        <f>AG76-SUM(AG77:AG79)</f>
        <v>0</v>
      </c>
      <c r="BE80" s="274"/>
      <c r="BF80" s="275" t="s">
        <v>201</v>
      </c>
      <c r="BG80" s="276">
        <f>BG76-SUM(BG77:BG79)</f>
        <v>0</v>
      </c>
    </row>
    <row r="81" spans="11:65" s="224" customFormat="1" x14ac:dyDescent="0.25"/>
    <row r="82" spans="11:65" s="224" customFormat="1" x14ac:dyDescent="0.25"/>
    <row r="83" spans="11:65" s="224" customFormat="1" x14ac:dyDescent="0.25">
      <c r="K83" s="212"/>
      <c r="L83" s="212"/>
      <c r="M83" s="212"/>
      <c r="AK83" s="212"/>
      <c r="AL83" s="212"/>
      <c r="AM83" s="212"/>
      <c r="BK83" s="212"/>
      <c r="BL83" s="212"/>
      <c r="BM83" s="212"/>
    </row>
    <row r="84" spans="11:65" s="224" customFormat="1" x14ac:dyDescent="0.25">
      <c r="K84" s="212"/>
      <c r="L84" s="212"/>
      <c r="M84" s="212"/>
      <c r="AK84" s="212"/>
      <c r="AL84" s="212"/>
      <c r="AM84" s="212"/>
      <c r="BK84" s="212"/>
      <c r="BL84" s="212"/>
      <c r="BM84" s="212"/>
    </row>
    <row r="85" spans="11:65" s="224" customFormat="1" x14ac:dyDescent="0.25">
      <c r="K85" s="212"/>
      <c r="L85" s="212"/>
      <c r="M85" s="212"/>
      <c r="AK85" s="212"/>
      <c r="AL85" s="212"/>
      <c r="AM85" s="212"/>
      <c r="BK85" s="212"/>
      <c r="BL85" s="212"/>
      <c r="BM85" s="212"/>
    </row>
    <row r="86" spans="11:65" s="224" customFormat="1" x14ac:dyDescent="0.25"/>
    <row r="87" spans="11:65" s="224" customFormat="1" x14ac:dyDescent="0.25"/>
    <row r="88" spans="11:65" s="224" customFormat="1" x14ac:dyDescent="0.25"/>
    <row r="89" spans="11:65" s="224" customFormat="1" x14ac:dyDescent="0.25"/>
    <row r="90" spans="11:65" s="224" customFormat="1" x14ac:dyDescent="0.25"/>
    <row r="91" spans="11:65" s="224" customFormat="1" x14ac:dyDescent="0.25"/>
    <row r="92" spans="11:65" s="224" customFormat="1" x14ac:dyDescent="0.25"/>
    <row r="93" spans="11:65" s="224" customFormat="1" x14ac:dyDescent="0.25"/>
    <row r="94" spans="11:65" s="224" customFormat="1" x14ac:dyDescent="0.25"/>
    <row r="95" spans="11:65" s="224" customFormat="1" x14ac:dyDescent="0.25"/>
    <row r="96" spans="11:65" s="224" customFormat="1" x14ac:dyDescent="0.25"/>
    <row r="97" spans="2:76" s="224" customFormat="1" x14ac:dyDescent="0.25"/>
    <row r="98" spans="2:76" x14ac:dyDescent="0.25">
      <c r="B98" s="150"/>
      <c r="C98" s="150"/>
      <c r="D98" s="150"/>
      <c r="E98" s="150"/>
      <c r="F98" s="150"/>
      <c r="G98" s="150"/>
      <c r="H98" s="150"/>
      <c r="I98" s="187"/>
      <c r="J98" s="150"/>
      <c r="K98" s="150"/>
      <c r="L98" s="150"/>
      <c r="M98" s="150"/>
      <c r="R98" s="150"/>
      <c r="S98" s="150"/>
      <c r="T98" s="150"/>
      <c r="U98" s="150"/>
      <c r="V98" s="167"/>
      <c r="W98" s="167"/>
      <c r="X98" s="167"/>
      <c r="Y98" s="167"/>
      <c r="Z98" s="167"/>
      <c r="AB98" s="150"/>
      <c r="AC98" s="150"/>
      <c r="AD98" s="150"/>
      <c r="AE98" s="150"/>
      <c r="AF98" s="150"/>
      <c r="AG98" s="150"/>
      <c r="AH98" s="150"/>
      <c r="AI98" s="187"/>
      <c r="AJ98" s="150"/>
      <c r="AK98" s="150"/>
      <c r="AL98" s="150"/>
      <c r="AM98" s="150"/>
      <c r="AR98" s="150"/>
      <c r="AS98" s="150"/>
      <c r="AT98" s="150"/>
      <c r="AU98" s="150"/>
      <c r="AZ98" s="167"/>
      <c r="BB98" s="150"/>
      <c r="BC98" s="150"/>
      <c r="BD98" s="150"/>
      <c r="BE98" s="150"/>
      <c r="BF98" s="150"/>
      <c r="BG98" s="150"/>
      <c r="BH98" s="150"/>
      <c r="BI98" s="187"/>
      <c r="BJ98" s="150"/>
      <c r="BK98" s="150"/>
      <c r="BL98" s="150"/>
      <c r="BM98" s="150"/>
      <c r="BR98" s="150"/>
      <c r="BS98" s="150"/>
      <c r="BT98" s="150"/>
      <c r="BU98" s="150"/>
      <c r="BV98" s="167"/>
      <c r="BW98" s="167"/>
      <c r="BX98" s="167"/>
    </row>
    <row r="99" spans="2:76" x14ac:dyDescent="0.25">
      <c r="B99" s="150"/>
      <c r="C99" s="150"/>
      <c r="D99" s="150"/>
      <c r="E99" s="150"/>
      <c r="F99" s="150"/>
      <c r="G99" s="150"/>
      <c r="H99" s="150"/>
      <c r="I99" s="187"/>
      <c r="J99" s="150"/>
      <c r="K99" s="150"/>
      <c r="L99" s="150"/>
      <c r="M99" s="150"/>
      <c r="R99" s="150"/>
      <c r="S99" s="150"/>
      <c r="T99" s="150"/>
      <c r="U99" s="150"/>
      <c r="V99" s="167"/>
      <c r="W99" s="161"/>
      <c r="X99" s="167"/>
      <c r="Y99" s="161"/>
      <c r="Z99" s="167"/>
      <c r="AB99" s="150"/>
      <c r="AC99" s="150"/>
      <c r="AD99" s="150"/>
      <c r="AE99" s="150"/>
      <c r="AF99" s="150"/>
      <c r="AG99" s="150"/>
      <c r="AH99" s="150"/>
      <c r="AI99" s="187"/>
      <c r="AJ99" s="150"/>
      <c r="AK99" s="150"/>
      <c r="AL99" s="150"/>
      <c r="AM99" s="150"/>
      <c r="AR99" s="150"/>
      <c r="AS99" s="150"/>
      <c r="AT99" s="150"/>
      <c r="AZ99" s="167"/>
      <c r="BB99" s="150"/>
      <c r="BC99" s="150"/>
      <c r="BD99" s="150"/>
      <c r="BE99" s="150"/>
      <c r="BF99" s="150"/>
      <c r="BG99" s="150"/>
      <c r="BH99" s="150"/>
      <c r="BI99" s="187"/>
      <c r="BJ99" s="150"/>
      <c r="BK99" s="150"/>
      <c r="BL99" s="150"/>
      <c r="BM99" s="150"/>
      <c r="BR99" s="150"/>
      <c r="BS99" s="150"/>
      <c r="BT99" s="150"/>
      <c r="BU99" s="150"/>
      <c r="BV99" s="167"/>
      <c r="BW99" s="161"/>
      <c r="BX99" s="167"/>
    </row>
    <row r="100" spans="2:76" x14ac:dyDescent="0.25">
      <c r="B100" s="150"/>
      <c r="C100" s="150"/>
      <c r="D100" s="150"/>
      <c r="E100" s="150"/>
      <c r="F100" s="150"/>
      <c r="G100" s="150"/>
      <c r="H100" s="150"/>
      <c r="I100" s="187"/>
      <c r="J100" s="150"/>
      <c r="K100" s="150"/>
      <c r="L100" s="150"/>
      <c r="M100" s="150"/>
      <c r="R100" s="150"/>
      <c r="S100" s="150"/>
      <c r="T100" s="150"/>
      <c r="U100" s="150"/>
      <c r="V100" s="167"/>
      <c r="W100" s="167"/>
      <c r="X100" s="167"/>
      <c r="Y100" s="167"/>
      <c r="Z100" s="167"/>
      <c r="AB100" s="150"/>
      <c r="AC100" s="150"/>
      <c r="AD100" s="150"/>
      <c r="AE100" s="150"/>
      <c r="AF100" s="150"/>
      <c r="AG100" s="150"/>
      <c r="AH100" s="150"/>
      <c r="AI100" s="187"/>
      <c r="AJ100" s="150"/>
      <c r="AK100" s="150"/>
      <c r="AL100" s="150"/>
      <c r="AM100" s="150"/>
      <c r="AR100" s="150"/>
      <c r="AS100" s="150"/>
      <c r="AT100" s="150"/>
      <c r="AU100" s="150"/>
      <c r="AZ100" s="167"/>
      <c r="BB100" s="150"/>
      <c r="BC100" s="150"/>
      <c r="BD100" s="150"/>
      <c r="BE100" s="150"/>
      <c r="BF100" s="150"/>
      <c r="BG100" s="150"/>
      <c r="BH100" s="150"/>
      <c r="BI100" s="187"/>
      <c r="BJ100" s="150"/>
      <c r="BK100" s="150"/>
      <c r="BL100" s="150"/>
      <c r="BM100" s="150"/>
      <c r="BR100" s="150"/>
      <c r="BS100" s="150"/>
      <c r="BT100" s="150"/>
      <c r="BU100" s="150"/>
      <c r="BV100" s="167"/>
      <c r="BW100" s="167"/>
      <c r="BX100" s="167"/>
    </row>
    <row r="101" spans="2:76" x14ac:dyDescent="0.25">
      <c r="B101" s="150"/>
      <c r="C101" s="150"/>
      <c r="D101" s="150"/>
      <c r="E101" s="150"/>
      <c r="F101" s="150"/>
      <c r="G101" s="150"/>
      <c r="H101" s="150"/>
      <c r="I101" s="187"/>
      <c r="J101" s="150"/>
      <c r="K101" s="150"/>
      <c r="L101" s="150"/>
      <c r="M101" s="150"/>
      <c r="R101" s="150"/>
      <c r="S101" s="150"/>
      <c r="T101" s="150"/>
      <c r="U101" s="150"/>
      <c r="V101" s="167"/>
      <c r="W101" s="161"/>
      <c r="X101" s="167"/>
      <c r="Y101" s="161"/>
      <c r="Z101" s="167"/>
      <c r="AB101" s="150"/>
      <c r="AC101" s="150"/>
      <c r="AD101" s="150"/>
      <c r="AE101" s="150"/>
      <c r="AF101" s="150"/>
      <c r="AG101" s="150"/>
      <c r="AH101" s="150"/>
      <c r="AI101" s="187"/>
      <c r="AJ101" s="150"/>
      <c r="AK101" s="150"/>
      <c r="AL101" s="150"/>
      <c r="AM101" s="150"/>
      <c r="AR101" s="150"/>
      <c r="AS101" s="150"/>
      <c r="AT101" s="150"/>
      <c r="AZ101" s="167"/>
      <c r="BB101" s="150"/>
      <c r="BC101" s="150"/>
      <c r="BD101" s="150"/>
      <c r="BE101" s="150"/>
      <c r="BF101" s="150"/>
      <c r="BG101" s="150"/>
      <c r="BH101" s="150"/>
      <c r="BI101" s="187"/>
      <c r="BJ101" s="150"/>
      <c r="BK101" s="150"/>
      <c r="BL101" s="150"/>
      <c r="BM101" s="150"/>
      <c r="BR101" s="150"/>
      <c r="BS101" s="150"/>
      <c r="BT101" s="150"/>
      <c r="BU101" s="150"/>
      <c r="BV101" s="167"/>
      <c r="BW101" s="161"/>
      <c r="BX101" s="167"/>
    </row>
    <row r="102" spans="2:76" x14ac:dyDescent="0.25">
      <c r="B102" s="150"/>
      <c r="C102" s="150"/>
      <c r="D102" s="150"/>
      <c r="E102" s="150"/>
      <c r="F102" s="150"/>
      <c r="G102" s="150"/>
      <c r="H102" s="150"/>
      <c r="I102" s="187"/>
      <c r="J102" s="150"/>
      <c r="K102" s="150"/>
      <c r="L102" s="150"/>
      <c r="M102" s="150"/>
      <c r="R102" s="150"/>
      <c r="S102" s="150"/>
      <c r="T102" s="150"/>
      <c r="U102" s="150"/>
      <c r="V102" s="167"/>
      <c r="W102" s="167"/>
      <c r="X102" s="167"/>
      <c r="Y102" s="167"/>
      <c r="Z102" s="167"/>
      <c r="AB102" s="150"/>
      <c r="AC102" s="150"/>
      <c r="AD102" s="150"/>
      <c r="AE102" s="150"/>
      <c r="AF102" s="150"/>
      <c r="AG102" s="150"/>
      <c r="AH102" s="150"/>
      <c r="AI102" s="187"/>
      <c r="AJ102" s="150"/>
      <c r="AK102" s="150"/>
      <c r="AL102" s="150"/>
      <c r="AM102" s="150"/>
      <c r="AR102" s="150"/>
      <c r="AS102" s="150"/>
      <c r="AT102" s="150"/>
      <c r="AU102" s="150"/>
      <c r="AZ102" s="167"/>
      <c r="BB102" s="150"/>
      <c r="BC102" s="150"/>
      <c r="BD102" s="150"/>
      <c r="BE102" s="150"/>
      <c r="BF102" s="150"/>
      <c r="BG102" s="150"/>
      <c r="BH102" s="150"/>
      <c r="BI102" s="187"/>
      <c r="BJ102" s="150"/>
      <c r="BK102" s="150"/>
      <c r="BL102" s="150"/>
      <c r="BM102" s="150"/>
      <c r="BR102" s="150"/>
      <c r="BS102" s="150"/>
      <c r="BT102" s="150"/>
      <c r="BU102" s="150"/>
      <c r="BV102" s="167"/>
      <c r="BW102" s="167"/>
      <c r="BX102" s="167"/>
    </row>
    <row r="103" spans="2:76" x14ac:dyDescent="0.25">
      <c r="B103" s="150"/>
      <c r="C103" s="150"/>
      <c r="D103" s="150"/>
      <c r="E103" s="150"/>
      <c r="F103" s="150"/>
      <c r="G103" s="150"/>
      <c r="H103" s="150"/>
      <c r="I103" s="187"/>
      <c r="J103" s="150"/>
      <c r="K103" s="150"/>
      <c r="L103" s="150"/>
      <c r="M103" s="150"/>
      <c r="R103" s="150"/>
      <c r="S103" s="150"/>
      <c r="T103" s="188"/>
      <c r="U103" s="150"/>
      <c r="V103" s="167"/>
      <c r="W103" s="161"/>
      <c r="X103" s="167"/>
      <c r="Y103" s="161"/>
      <c r="Z103" s="167"/>
      <c r="AB103" s="150"/>
      <c r="AC103" s="150"/>
      <c r="AD103" s="150"/>
      <c r="AE103" s="150"/>
      <c r="AF103" s="150"/>
      <c r="AG103" s="150"/>
      <c r="AH103" s="150"/>
      <c r="AI103" s="187"/>
      <c r="AJ103" s="150"/>
      <c r="AK103" s="150"/>
      <c r="AL103" s="150"/>
      <c r="AM103" s="150"/>
      <c r="AR103" s="150"/>
      <c r="AS103" s="150"/>
      <c r="AT103" s="188"/>
      <c r="AZ103" s="167"/>
      <c r="BB103" s="150"/>
      <c r="BC103" s="150"/>
      <c r="BD103" s="150"/>
      <c r="BE103" s="150"/>
      <c r="BF103" s="150"/>
      <c r="BG103" s="150"/>
      <c r="BH103" s="150"/>
      <c r="BI103" s="187"/>
      <c r="BJ103" s="150"/>
      <c r="BK103" s="150"/>
      <c r="BL103" s="150"/>
      <c r="BM103" s="150"/>
      <c r="BR103" s="150"/>
      <c r="BS103" s="150"/>
      <c r="BT103" s="188"/>
      <c r="BU103" s="150"/>
      <c r="BV103" s="167"/>
      <c r="BW103" s="161"/>
      <c r="BX103" s="167"/>
    </row>
    <row r="104" spans="2:76" x14ac:dyDescent="0.25">
      <c r="B104" s="150"/>
      <c r="C104" s="150"/>
      <c r="D104" s="150"/>
      <c r="E104" s="150"/>
      <c r="F104" s="150"/>
      <c r="G104" s="150"/>
      <c r="H104" s="150"/>
      <c r="I104" s="187"/>
      <c r="J104" s="150"/>
      <c r="K104" s="150"/>
      <c r="L104" s="150"/>
      <c r="M104" s="150"/>
      <c r="R104" s="150"/>
      <c r="S104" s="150"/>
      <c r="T104" s="150"/>
      <c r="U104" s="150"/>
      <c r="V104" s="167"/>
      <c r="W104" s="167"/>
      <c r="X104" s="167"/>
      <c r="Y104" s="167"/>
      <c r="Z104" s="167"/>
      <c r="AB104" s="150"/>
      <c r="AC104" s="150"/>
      <c r="AD104" s="150"/>
      <c r="AE104" s="150"/>
      <c r="AF104" s="150"/>
      <c r="AG104" s="150"/>
      <c r="AH104" s="150"/>
      <c r="AI104" s="187"/>
      <c r="AJ104" s="150"/>
      <c r="AK104" s="150"/>
      <c r="AL104" s="150"/>
      <c r="AM104" s="150"/>
      <c r="AR104" s="150"/>
      <c r="AS104" s="150"/>
      <c r="AT104" s="150"/>
      <c r="AU104" s="150"/>
      <c r="AZ104" s="167"/>
      <c r="BB104" s="150"/>
      <c r="BC104" s="150"/>
      <c r="BD104" s="150"/>
      <c r="BE104" s="150"/>
      <c r="BF104" s="150"/>
      <c r="BG104" s="150"/>
      <c r="BH104" s="150"/>
      <c r="BI104" s="187"/>
      <c r="BJ104" s="150"/>
      <c r="BK104" s="150"/>
      <c r="BL104" s="150"/>
      <c r="BM104" s="150"/>
      <c r="BR104" s="150"/>
      <c r="BS104" s="150"/>
      <c r="BT104" s="150"/>
      <c r="BU104" s="150"/>
      <c r="BV104" s="167"/>
      <c r="BW104" s="167"/>
      <c r="BX104" s="167"/>
    </row>
    <row r="105" spans="2:76" x14ac:dyDescent="0.25">
      <c r="B105" s="150"/>
      <c r="C105" s="150"/>
      <c r="D105" s="150"/>
      <c r="E105" s="150"/>
      <c r="F105" s="150"/>
      <c r="G105" s="150"/>
      <c r="H105" s="150"/>
      <c r="I105" s="187"/>
      <c r="J105" s="150"/>
      <c r="K105" s="150"/>
      <c r="L105" s="150"/>
      <c r="M105" s="150"/>
      <c r="R105" s="150"/>
      <c r="S105" s="150"/>
      <c r="T105" s="150"/>
      <c r="U105" s="157"/>
      <c r="V105" s="167"/>
      <c r="W105" s="161"/>
      <c r="X105" s="167"/>
      <c r="Y105" s="161"/>
      <c r="Z105" s="167"/>
      <c r="AB105" s="150"/>
      <c r="AC105" s="150"/>
      <c r="AD105" s="150"/>
      <c r="AE105" s="150"/>
      <c r="AF105" s="150"/>
      <c r="AG105" s="150"/>
      <c r="AH105" s="150"/>
      <c r="AI105" s="187"/>
      <c r="AJ105" s="150"/>
      <c r="AK105" s="150"/>
      <c r="AL105" s="150"/>
      <c r="AM105" s="150"/>
      <c r="AR105" s="150"/>
      <c r="AS105" s="150"/>
      <c r="AT105" s="150"/>
      <c r="AZ105" s="167"/>
      <c r="BB105" s="150"/>
      <c r="BC105" s="150"/>
      <c r="BD105" s="150"/>
      <c r="BE105" s="150"/>
      <c r="BF105" s="150"/>
      <c r="BG105" s="150"/>
      <c r="BH105" s="150"/>
      <c r="BI105" s="187"/>
      <c r="BJ105" s="150"/>
      <c r="BK105" s="150"/>
      <c r="BL105" s="150"/>
      <c r="BM105" s="150"/>
      <c r="BR105" s="150"/>
      <c r="BS105" s="150"/>
      <c r="BT105" s="150"/>
      <c r="BU105" s="157"/>
      <c r="BV105" s="167"/>
      <c r="BW105" s="161"/>
      <c r="BX105" s="167"/>
    </row>
    <row r="106" spans="2:76" x14ac:dyDescent="0.25">
      <c r="B106" s="150"/>
      <c r="C106" s="150"/>
      <c r="D106" s="150"/>
      <c r="E106" s="150"/>
      <c r="F106" s="150"/>
      <c r="G106" s="150"/>
      <c r="H106" s="150"/>
      <c r="I106" s="187"/>
      <c r="J106" s="150"/>
      <c r="K106" s="150"/>
      <c r="L106" s="150"/>
      <c r="M106" s="150"/>
      <c r="R106" s="150"/>
      <c r="S106" s="150"/>
      <c r="T106" s="150"/>
      <c r="U106" s="150"/>
      <c r="V106" s="167"/>
      <c r="W106" s="167"/>
      <c r="X106" s="167"/>
      <c r="Y106" s="167"/>
      <c r="Z106" s="167"/>
      <c r="AB106" s="150"/>
      <c r="AC106" s="150"/>
      <c r="AD106" s="150"/>
      <c r="AE106" s="150"/>
      <c r="AF106" s="150"/>
      <c r="AG106" s="150"/>
      <c r="AH106" s="150"/>
      <c r="AI106" s="187"/>
      <c r="AJ106" s="150"/>
      <c r="AK106" s="150"/>
      <c r="AL106" s="150"/>
      <c r="AM106" s="150"/>
      <c r="AR106" s="150"/>
      <c r="AS106" s="150"/>
      <c r="AT106" s="150"/>
      <c r="AU106" s="150"/>
      <c r="AZ106" s="167"/>
      <c r="BB106" s="150"/>
      <c r="BC106" s="150"/>
      <c r="BD106" s="150"/>
      <c r="BE106" s="150"/>
      <c r="BF106" s="150"/>
      <c r="BG106" s="150"/>
      <c r="BH106" s="150"/>
      <c r="BI106" s="187"/>
      <c r="BJ106" s="150"/>
      <c r="BK106" s="150"/>
      <c r="BL106" s="150"/>
      <c r="BM106" s="150"/>
      <c r="BR106" s="150"/>
      <c r="BS106" s="150"/>
      <c r="BT106" s="150"/>
      <c r="BU106" s="150"/>
      <c r="BV106" s="167"/>
      <c r="BW106" s="167"/>
      <c r="BX106" s="167"/>
    </row>
    <row r="107" spans="2:76" x14ac:dyDescent="0.25">
      <c r="B107" s="150"/>
      <c r="C107" s="150"/>
      <c r="D107" s="150"/>
      <c r="E107" s="150"/>
      <c r="F107" s="150"/>
      <c r="G107" s="150"/>
      <c r="H107" s="150"/>
      <c r="I107" s="187"/>
      <c r="J107" s="150"/>
      <c r="K107" s="150"/>
      <c r="L107" s="150"/>
      <c r="M107" s="150"/>
      <c r="R107" s="150"/>
      <c r="S107" s="150"/>
      <c r="T107" s="150"/>
      <c r="U107" s="207"/>
      <c r="V107" s="167"/>
      <c r="W107" s="161"/>
      <c r="X107" s="167"/>
      <c r="Y107" s="161"/>
      <c r="Z107" s="167"/>
      <c r="AB107" s="150"/>
      <c r="AC107" s="150"/>
      <c r="AD107" s="150"/>
      <c r="AE107" s="150"/>
      <c r="AF107" s="150"/>
      <c r="AG107" s="150"/>
      <c r="AH107" s="150"/>
      <c r="AI107" s="187"/>
      <c r="AJ107" s="150"/>
      <c r="AK107" s="150"/>
      <c r="AL107" s="150"/>
      <c r="AM107" s="150"/>
      <c r="AR107" s="150"/>
      <c r="AS107" s="150"/>
      <c r="AT107" s="150"/>
      <c r="AZ107" s="167"/>
      <c r="BB107" s="150"/>
      <c r="BC107" s="150"/>
      <c r="BD107" s="150"/>
      <c r="BE107" s="150"/>
      <c r="BF107" s="150"/>
      <c r="BG107" s="150"/>
      <c r="BH107" s="150"/>
      <c r="BI107" s="187"/>
      <c r="BJ107" s="150"/>
      <c r="BK107" s="150"/>
      <c r="BL107" s="150"/>
      <c r="BM107" s="150"/>
      <c r="BR107" s="150"/>
      <c r="BS107" s="150"/>
      <c r="BT107" s="150"/>
      <c r="BU107" s="207"/>
      <c r="BV107" s="167"/>
      <c r="BW107" s="161"/>
      <c r="BX107" s="167"/>
    </row>
    <row r="108" spans="2:76" x14ac:dyDescent="0.25">
      <c r="B108" s="150"/>
      <c r="C108" s="150"/>
      <c r="D108" s="150"/>
      <c r="E108" s="150"/>
      <c r="F108" s="150"/>
      <c r="G108" s="150"/>
      <c r="H108" s="150"/>
      <c r="I108" s="187"/>
      <c r="J108" s="150"/>
      <c r="K108" s="150"/>
      <c r="L108" s="150"/>
      <c r="M108" s="150"/>
      <c r="O108" s="150"/>
      <c r="P108" s="150"/>
      <c r="Q108" s="150"/>
      <c r="R108" s="167"/>
      <c r="S108" s="167"/>
      <c r="T108" s="167"/>
      <c r="U108" s="167"/>
      <c r="V108" s="167"/>
      <c r="W108" s="167"/>
      <c r="X108" s="167"/>
      <c r="Y108" s="167"/>
      <c r="Z108" s="167"/>
      <c r="AB108" s="150"/>
      <c r="AC108" s="150"/>
      <c r="AD108" s="150"/>
      <c r="AE108" s="150"/>
      <c r="AF108" s="150"/>
      <c r="AG108" s="150"/>
      <c r="AH108" s="150"/>
      <c r="AI108" s="187"/>
      <c r="AJ108" s="150"/>
      <c r="AK108" s="150"/>
      <c r="AL108" s="150"/>
      <c r="AM108" s="150"/>
      <c r="AO108" s="150"/>
      <c r="AP108" s="150"/>
      <c r="AQ108" s="150"/>
      <c r="AR108" s="167"/>
      <c r="AS108" s="167"/>
      <c r="AT108" s="167"/>
      <c r="AU108" s="150"/>
      <c r="AZ108" s="167"/>
      <c r="BB108" s="150"/>
      <c r="BC108" s="150"/>
      <c r="BD108" s="150"/>
      <c r="BE108" s="150"/>
      <c r="BF108" s="150"/>
      <c r="BG108" s="150"/>
      <c r="BH108" s="150"/>
      <c r="BI108" s="187"/>
      <c r="BJ108" s="150"/>
      <c r="BK108" s="150"/>
      <c r="BL108" s="150"/>
      <c r="BM108" s="150"/>
      <c r="BO108" s="150"/>
      <c r="BP108" s="150"/>
      <c r="BQ108" s="150"/>
      <c r="BR108" s="167"/>
      <c r="BS108" s="167"/>
      <c r="BT108" s="167"/>
      <c r="BU108" s="167"/>
      <c r="BV108" s="167"/>
      <c r="BW108" s="167"/>
      <c r="BX108" s="167"/>
    </row>
    <row r="109" spans="2:76" x14ac:dyDescent="0.25">
      <c r="B109" s="150"/>
      <c r="C109" s="150"/>
      <c r="D109" s="150"/>
      <c r="E109" s="150"/>
      <c r="F109" s="150"/>
      <c r="G109" s="150"/>
      <c r="H109" s="150"/>
      <c r="I109" s="187"/>
      <c r="J109" s="150"/>
      <c r="K109" s="150"/>
      <c r="L109" s="150"/>
      <c r="M109" s="150"/>
      <c r="O109" s="150"/>
      <c r="P109" s="150"/>
      <c r="Q109" s="150"/>
      <c r="R109" s="167"/>
      <c r="S109" s="161"/>
      <c r="T109" s="167"/>
      <c r="U109" s="161"/>
      <c r="V109" s="167"/>
      <c r="W109" s="161"/>
      <c r="X109" s="167"/>
      <c r="Y109" s="161"/>
      <c r="Z109" s="167"/>
      <c r="AB109" s="150"/>
      <c r="AC109" s="150"/>
      <c r="AD109" s="150"/>
      <c r="AE109" s="150"/>
      <c r="AF109" s="150"/>
      <c r="AG109" s="150"/>
      <c r="AH109" s="150"/>
      <c r="AI109" s="187"/>
      <c r="AJ109" s="150"/>
      <c r="AK109" s="150"/>
      <c r="AL109" s="150"/>
      <c r="AM109" s="150"/>
      <c r="AO109" s="150"/>
      <c r="AP109" s="150"/>
      <c r="AQ109" s="150"/>
      <c r="AR109" s="167"/>
      <c r="AS109" s="161"/>
      <c r="AT109" s="167"/>
      <c r="AZ109" s="167"/>
      <c r="BB109" s="150"/>
      <c r="BC109" s="150"/>
      <c r="BD109" s="150"/>
      <c r="BE109" s="150"/>
      <c r="BF109" s="150"/>
      <c r="BG109" s="150"/>
      <c r="BH109" s="150"/>
      <c r="BI109" s="187"/>
      <c r="BJ109" s="150"/>
      <c r="BK109" s="150"/>
      <c r="BL109" s="150"/>
      <c r="BM109" s="150"/>
      <c r="BO109" s="150"/>
      <c r="BP109" s="150"/>
      <c r="BQ109" s="150"/>
      <c r="BR109" s="167"/>
      <c r="BS109" s="161"/>
      <c r="BT109" s="167"/>
      <c r="BU109" s="161"/>
      <c r="BV109" s="167"/>
      <c r="BW109" s="161"/>
      <c r="BX109" s="167"/>
    </row>
    <row r="110" spans="2:76" x14ac:dyDescent="0.25">
      <c r="B110" s="150"/>
      <c r="C110" s="150"/>
      <c r="D110" s="150"/>
      <c r="E110" s="150"/>
      <c r="F110" s="150"/>
      <c r="G110" s="150"/>
      <c r="H110" s="150"/>
      <c r="I110" s="187"/>
      <c r="J110" s="150"/>
      <c r="K110" s="150"/>
      <c r="L110" s="150"/>
      <c r="M110" s="150"/>
      <c r="P110" s="157"/>
      <c r="Q110" s="157"/>
      <c r="R110" s="167"/>
      <c r="S110" s="167"/>
      <c r="T110" s="167"/>
      <c r="U110" s="167"/>
      <c r="V110" s="167"/>
      <c r="W110" s="167"/>
      <c r="X110" s="167"/>
      <c r="Y110" s="167"/>
      <c r="Z110" s="167"/>
      <c r="AB110" s="150"/>
      <c r="AC110" s="150"/>
      <c r="AD110" s="150"/>
      <c r="AE110" s="150"/>
      <c r="AF110" s="150"/>
      <c r="AG110" s="150"/>
      <c r="AH110" s="150"/>
      <c r="AI110" s="187"/>
      <c r="AJ110" s="150"/>
      <c r="AK110" s="150"/>
      <c r="AL110" s="150"/>
      <c r="AM110" s="150"/>
      <c r="AP110" s="157"/>
      <c r="AQ110" s="157"/>
      <c r="AR110" s="167"/>
      <c r="AS110" s="167"/>
      <c r="AT110" s="167"/>
      <c r="AU110" s="150"/>
      <c r="AZ110" s="167"/>
      <c r="BB110" s="150"/>
      <c r="BC110" s="150"/>
      <c r="BD110" s="150"/>
      <c r="BE110" s="150"/>
      <c r="BF110" s="150"/>
      <c r="BG110" s="150"/>
      <c r="BH110" s="150"/>
      <c r="BI110" s="187"/>
      <c r="BJ110" s="150"/>
      <c r="BK110" s="150"/>
      <c r="BL110" s="150"/>
      <c r="BM110" s="150"/>
      <c r="BP110" s="157"/>
      <c r="BQ110" s="157"/>
      <c r="BR110" s="167"/>
      <c r="BS110" s="167"/>
      <c r="BT110" s="167"/>
      <c r="BU110" s="167"/>
      <c r="BV110" s="167"/>
      <c r="BW110" s="167"/>
      <c r="BX110" s="167"/>
    </row>
    <row r="111" spans="2:76" s="150" customFormat="1" x14ac:dyDescent="0.25">
      <c r="I111" s="187"/>
      <c r="N111" s="151"/>
      <c r="R111" s="167"/>
      <c r="S111" s="161"/>
      <c r="T111" s="167"/>
      <c r="U111" s="161"/>
      <c r="V111" s="167"/>
      <c r="W111" s="161"/>
      <c r="X111" s="167"/>
      <c r="Y111" s="161"/>
      <c r="Z111" s="167"/>
      <c r="AI111" s="187"/>
      <c r="AN111" s="151"/>
      <c r="AR111" s="167"/>
      <c r="AS111" s="161"/>
      <c r="AT111" s="167"/>
      <c r="AU111" s="151"/>
      <c r="AZ111" s="167"/>
      <c r="BI111" s="187"/>
      <c r="BN111" s="151"/>
      <c r="BR111" s="167"/>
      <c r="BS111" s="161"/>
      <c r="BT111" s="167"/>
      <c r="BU111" s="161"/>
      <c r="BV111" s="167"/>
      <c r="BW111" s="161"/>
      <c r="BX111" s="167"/>
    </row>
    <row r="112" spans="2:76" x14ac:dyDescent="0.25">
      <c r="B112" s="150"/>
      <c r="C112" s="150"/>
      <c r="D112" s="150"/>
      <c r="E112" s="150"/>
      <c r="F112" s="150"/>
      <c r="G112" s="150"/>
      <c r="H112" s="150"/>
      <c r="I112" s="187"/>
      <c r="J112" s="150"/>
      <c r="K112" s="150"/>
      <c r="L112" s="150"/>
      <c r="M112" s="150"/>
      <c r="O112" s="150"/>
      <c r="R112" s="167"/>
      <c r="S112" s="167"/>
      <c r="T112" s="167"/>
      <c r="U112" s="167"/>
      <c r="V112" s="167"/>
      <c r="W112" s="167"/>
      <c r="X112" s="167"/>
      <c r="Y112" s="167"/>
      <c r="Z112" s="167"/>
      <c r="AB112" s="150"/>
      <c r="AC112" s="150"/>
      <c r="AD112" s="150"/>
      <c r="AE112" s="150"/>
      <c r="AF112" s="150"/>
      <c r="AG112" s="150"/>
      <c r="AH112" s="150"/>
      <c r="AI112" s="187"/>
      <c r="AJ112" s="150"/>
      <c r="AK112" s="150"/>
      <c r="AL112" s="150"/>
      <c r="AM112" s="150"/>
      <c r="AO112" s="150"/>
      <c r="AR112" s="167"/>
      <c r="AS112" s="167"/>
      <c r="AT112" s="167"/>
      <c r="AU112" s="150"/>
      <c r="AZ112" s="167"/>
      <c r="BB112" s="150"/>
      <c r="BC112" s="150"/>
      <c r="BD112" s="150"/>
      <c r="BE112" s="150"/>
      <c r="BF112" s="150"/>
      <c r="BG112" s="150"/>
      <c r="BH112" s="150"/>
      <c r="BI112" s="187"/>
      <c r="BJ112" s="150"/>
      <c r="BK112" s="150"/>
      <c r="BL112" s="150"/>
      <c r="BM112" s="150"/>
      <c r="BO112" s="150"/>
      <c r="BR112" s="167"/>
      <c r="BS112" s="167"/>
      <c r="BT112" s="167"/>
      <c r="BU112" s="167"/>
      <c r="BV112" s="167"/>
      <c r="BW112" s="167"/>
      <c r="BX112" s="167"/>
    </row>
    <row r="113" spans="2:76" s="150" customFormat="1" x14ac:dyDescent="0.25">
      <c r="B113" s="151"/>
      <c r="C113" s="151"/>
      <c r="D113" s="151"/>
      <c r="E113" s="208"/>
      <c r="F113" s="151"/>
      <c r="G113" s="208"/>
      <c r="H113" s="151"/>
      <c r="I113" s="209"/>
      <c r="J113" s="151"/>
      <c r="K113" s="208"/>
      <c r="L113" s="151"/>
      <c r="M113" s="208"/>
      <c r="N113" s="151"/>
      <c r="O113" s="151"/>
      <c r="R113" s="167"/>
      <c r="S113" s="161"/>
      <c r="T113" s="167"/>
      <c r="U113" s="161"/>
      <c r="V113" s="167"/>
      <c r="W113" s="161"/>
      <c r="X113" s="167"/>
      <c r="Y113" s="161"/>
      <c r="Z113" s="167"/>
      <c r="AB113" s="151"/>
      <c r="AC113" s="151"/>
      <c r="AD113" s="151"/>
      <c r="AE113" s="208"/>
      <c r="AF113" s="151"/>
      <c r="AG113" s="208"/>
      <c r="AH113" s="151"/>
      <c r="AI113" s="209"/>
      <c r="AJ113" s="151"/>
      <c r="AK113" s="208"/>
      <c r="AL113" s="151"/>
      <c r="AM113" s="208"/>
      <c r="AN113" s="151"/>
      <c r="AO113" s="151"/>
      <c r="AR113" s="167"/>
      <c r="AS113" s="161"/>
      <c r="AT113" s="167"/>
      <c r="AU113" s="151"/>
      <c r="AZ113" s="167"/>
      <c r="BB113" s="151"/>
      <c r="BC113" s="151"/>
      <c r="BD113" s="151"/>
      <c r="BE113" s="208"/>
      <c r="BF113" s="151"/>
      <c r="BG113" s="208"/>
      <c r="BH113" s="151"/>
      <c r="BI113" s="209"/>
      <c r="BJ113" s="151"/>
      <c r="BK113" s="208"/>
      <c r="BL113" s="151"/>
      <c r="BM113" s="208"/>
      <c r="BN113" s="151"/>
      <c r="BO113" s="151"/>
      <c r="BR113" s="167"/>
      <c r="BS113" s="161"/>
      <c r="BT113" s="167"/>
      <c r="BU113" s="161"/>
      <c r="BV113" s="167"/>
      <c r="BW113" s="161"/>
      <c r="BX113" s="167"/>
    </row>
    <row r="114" spans="2:76" x14ac:dyDescent="0.25">
      <c r="B114" s="150"/>
      <c r="C114" s="150"/>
      <c r="D114" s="150"/>
      <c r="E114" s="150"/>
      <c r="F114" s="150"/>
      <c r="G114" s="150"/>
      <c r="H114" s="150"/>
      <c r="I114" s="187"/>
      <c r="J114" s="150"/>
      <c r="K114" s="150"/>
      <c r="L114" s="150"/>
      <c r="M114" s="150"/>
      <c r="N114" s="150"/>
      <c r="O114" s="150"/>
      <c r="R114" s="167"/>
      <c r="S114" s="167"/>
      <c r="T114" s="167"/>
      <c r="U114" s="167"/>
      <c r="V114" s="167"/>
      <c r="W114" s="167"/>
      <c r="X114" s="167"/>
      <c r="Y114" s="167"/>
      <c r="Z114" s="167"/>
      <c r="AB114" s="150"/>
      <c r="AC114" s="150"/>
      <c r="AD114" s="150"/>
      <c r="AE114" s="150"/>
      <c r="AF114" s="150"/>
      <c r="AG114" s="150"/>
      <c r="AH114" s="150"/>
      <c r="AI114" s="187"/>
      <c r="AJ114" s="150"/>
      <c r="AK114" s="150"/>
      <c r="AL114" s="150"/>
      <c r="AM114" s="150"/>
      <c r="AN114" s="150"/>
      <c r="AO114" s="150"/>
      <c r="AR114" s="167"/>
      <c r="AS114" s="167"/>
      <c r="AT114" s="167"/>
      <c r="AU114" s="150"/>
      <c r="AZ114" s="167"/>
      <c r="BB114" s="150"/>
      <c r="BC114" s="150"/>
      <c r="BD114" s="150"/>
      <c r="BE114" s="150"/>
      <c r="BF114" s="150"/>
      <c r="BG114" s="150"/>
      <c r="BH114" s="150"/>
      <c r="BI114" s="187"/>
      <c r="BJ114" s="150"/>
      <c r="BK114" s="150"/>
      <c r="BL114" s="150"/>
      <c r="BM114" s="150"/>
      <c r="BN114" s="150"/>
      <c r="BO114" s="150"/>
      <c r="BR114" s="167"/>
      <c r="BS114" s="167"/>
      <c r="BT114" s="167"/>
      <c r="BU114" s="167"/>
      <c r="BV114" s="167"/>
      <c r="BW114" s="167"/>
      <c r="BX114" s="167"/>
    </row>
    <row r="115" spans="2:76" s="150" customFormat="1" x14ac:dyDescent="0.25">
      <c r="B115" s="151"/>
      <c r="E115" s="157"/>
      <c r="H115" s="151"/>
      <c r="I115" s="110"/>
      <c r="J115" s="151"/>
      <c r="K115" s="151"/>
      <c r="L115" s="151"/>
      <c r="M115" s="151"/>
      <c r="N115" s="151"/>
      <c r="O115" s="151"/>
      <c r="R115" s="167"/>
      <c r="S115" s="161"/>
      <c r="T115" s="167"/>
      <c r="U115" s="161"/>
      <c r="V115" s="167"/>
      <c r="W115" s="161"/>
      <c r="X115" s="167"/>
      <c r="Y115" s="161"/>
      <c r="Z115" s="167"/>
      <c r="AB115" s="151"/>
      <c r="AE115" s="157"/>
      <c r="AH115" s="151"/>
      <c r="AI115" s="110"/>
      <c r="AJ115" s="151"/>
      <c r="AK115" s="151"/>
      <c r="AL115" s="151"/>
      <c r="AM115" s="151"/>
      <c r="AN115" s="151"/>
      <c r="AO115" s="151"/>
      <c r="AR115" s="167"/>
      <c r="AS115" s="161"/>
      <c r="AT115" s="167"/>
      <c r="AU115" s="151"/>
      <c r="AZ115" s="167"/>
      <c r="BB115" s="151"/>
      <c r="BE115" s="157"/>
      <c r="BH115" s="151"/>
      <c r="BI115" s="110"/>
      <c r="BJ115" s="151"/>
      <c r="BK115" s="151"/>
      <c r="BL115" s="151"/>
      <c r="BM115" s="151"/>
      <c r="BN115" s="151"/>
      <c r="BO115" s="151"/>
      <c r="BR115" s="167"/>
      <c r="BS115" s="161"/>
      <c r="BT115" s="167"/>
      <c r="BU115" s="161"/>
      <c r="BV115" s="167"/>
      <c r="BW115" s="161"/>
      <c r="BX115" s="167"/>
    </row>
    <row r="116" spans="2:76" s="150" customFormat="1" x14ac:dyDescent="0.25">
      <c r="B116" s="151"/>
      <c r="C116" s="151"/>
      <c r="D116" s="151"/>
      <c r="E116" s="151"/>
      <c r="F116" s="151"/>
      <c r="G116" s="151"/>
      <c r="I116" s="187"/>
      <c r="R116" s="167"/>
      <c r="S116" s="167"/>
      <c r="T116" s="167"/>
      <c r="U116" s="167"/>
      <c r="V116" s="167"/>
      <c r="W116" s="167"/>
      <c r="X116" s="167"/>
      <c r="Y116" s="167"/>
      <c r="Z116" s="167"/>
      <c r="AB116" s="151"/>
      <c r="AC116" s="151"/>
      <c r="AD116" s="151"/>
      <c r="AE116" s="151"/>
      <c r="AF116" s="151"/>
      <c r="AG116" s="151"/>
      <c r="AI116" s="187"/>
      <c r="AR116" s="167"/>
      <c r="AS116" s="167"/>
      <c r="AT116" s="167"/>
      <c r="AZ116" s="167"/>
      <c r="BB116" s="151"/>
      <c r="BC116" s="151"/>
      <c r="BD116" s="151"/>
      <c r="BE116" s="151"/>
      <c r="BF116" s="151"/>
      <c r="BG116" s="151"/>
      <c r="BI116" s="187"/>
      <c r="BR116" s="167"/>
      <c r="BS116" s="167"/>
      <c r="BT116" s="167"/>
      <c r="BU116" s="167"/>
      <c r="BV116" s="167"/>
      <c r="BW116" s="167"/>
      <c r="BX116" s="167"/>
    </row>
    <row r="117" spans="2:76" x14ac:dyDescent="0.25">
      <c r="B117" s="150"/>
      <c r="C117" s="150"/>
      <c r="D117" s="150"/>
      <c r="E117" s="150"/>
      <c r="F117" s="157"/>
      <c r="G117" s="150"/>
      <c r="H117" s="150"/>
      <c r="I117" s="187"/>
      <c r="J117" s="210"/>
      <c r="K117" s="150"/>
      <c r="L117" s="150"/>
      <c r="M117" s="150"/>
      <c r="N117" s="157"/>
      <c r="O117" s="150"/>
      <c r="R117" s="167"/>
      <c r="S117" s="161"/>
      <c r="T117" s="167"/>
      <c r="U117" s="161"/>
      <c r="V117" s="167"/>
      <c r="W117" s="161"/>
      <c r="X117" s="167"/>
      <c r="Y117" s="161"/>
      <c r="Z117" s="167"/>
      <c r="AB117" s="150"/>
      <c r="AC117" s="150"/>
      <c r="AD117" s="150"/>
      <c r="AE117" s="150"/>
      <c r="AF117" s="157"/>
      <c r="AG117" s="150"/>
      <c r="AH117" s="150"/>
      <c r="AI117" s="187"/>
      <c r="AJ117" s="210"/>
      <c r="AK117" s="150"/>
      <c r="AL117" s="150"/>
      <c r="AM117" s="150"/>
      <c r="AN117" s="157"/>
      <c r="AO117" s="150"/>
      <c r="AR117" s="167"/>
      <c r="AS117" s="161"/>
      <c r="AT117" s="167"/>
      <c r="AZ117" s="167"/>
      <c r="BB117" s="150"/>
      <c r="BC117" s="150"/>
      <c r="BD117" s="150"/>
      <c r="BE117" s="150"/>
      <c r="BF117" s="157"/>
      <c r="BG117" s="150"/>
      <c r="BH117" s="150"/>
      <c r="BI117" s="187"/>
      <c r="BJ117" s="210"/>
      <c r="BK117" s="150"/>
      <c r="BL117" s="150"/>
      <c r="BM117" s="150"/>
      <c r="BN117" s="157"/>
      <c r="BO117" s="150"/>
      <c r="BR117" s="167"/>
      <c r="BS117" s="161"/>
      <c r="BT117" s="167"/>
      <c r="BU117" s="161"/>
      <c r="BV117" s="167"/>
      <c r="BW117" s="161"/>
      <c r="BX117" s="167"/>
    </row>
    <row r="118" spans="2:76" s="150" customFormat="1" x14ac:dyDescent="0.25">
      <c r="B118" s="151"/>
      <c r="C118" s="151"/>
      <c r="D118" s="151"/>
      <c r="E118" s="151"/>
      <c r="F118" s="151"/>
      <c r="G118" s="151"/>
      <c r="H118" s="151"/>
      <c r="I118" s="180"/>
      <c r="J118" s="151"/>
      <c r="K118" s="151"/>
      <c r="L118" s="151"/>
      <c r="M118" s="151"/>
      <c r="N118" s="151"/>
      <c r="O118" s="151"/>
      <c r="R118" s="167"/>
      <c r="S118" s="167"/>
      <c r="T118" s="167"/>
      <c r="U118" s="167"/>
      <c r="V118" s="167"/>
      <c r="W118" s="167"/>
      <c r="X118" s="167"/>
      <c r="Y118" s="167"/>
      <c r="Z118" s="167"/>
      <c r="AB118" s="151"/>
      <c r="AC118" s="151"/>
      <c r="AD118" s="151"/>
      <c r="AE118" s="151"/>
      <c r="AF118" s="151"/>
      <c r="AG118" s="151"/>
      <c r="AH118" s="151"/>
      <c r="AI118" s="180"/>
      <c r="AJ118" s="151"/>
      <c r="AK118" s="151"/>
      <c r="AL118" s="151"/>
      <c r="AM118" s="151"/>
      <c r="AN118" s="151"/>
      <c r="AO118" s="151"/>
      <c r="AR118" s="167"/>
      <c r="AS118" s="167"/>
      <c r="AT118" s="167"/>
      <c r="AZ118" s="167"/>
      <c r="BB118" s="151"/>
      <c r="BC118" s="151"/>
      <c r="BD118" s="151"/>
      <c r="BE118" s="151"/>
      <c r="BF118" s="151"/>
      <c r="BG118" s="151"/>
      <c r="BH118" s="151"/>
      <c r="BI118" s="180"/>
      <c r="BJ118" s="151"/>
      <c r="BK118" s="151"/>
      <c r="BL118" s="151"/>
      <c r="BM118" s="151"/>
      <c r="BN118" s="151"/>
      <c r="BO118" s="151"/>
      <c r="BR118" s="167"/>
      <c r="BS118" s="167"/>
      <c r="BT118" s="167"/>
      <c r="BU118" s="167"/>
      <c r="BV118" s="167"/>
      <c r="BW118" s="167"/>
      <c r="BX118" s="167"/>
    </row>
    <row r="119" spans="2:76" x14ac:dyDescent="0.25">
      <c r="B119" s="150"/>
      <c r="C119" s="150"/>
      <c r="D119" s="150"/>
      <c r="E119" s="150"/>
      <c r="G119" s="150"/>
      <c r="H119" s="188"/>
      <c r="I119" s="187"/>
      <c r="J119" s="150"/>
      <c r="K119" s="211"/>
      <c r="L119" s="150"/>
      <c r="M119" s="212"/>
      <c r="O119" s="159"/>
      <c r="R119" s="167"/>
      <c r="S119" s="161"/>
      <c r="T119" s="167"/>
      <c r="U119" s="161"/>
      <c r="V119" s="167"/>
      <c r="W119" s="161"/>
      <c r="X119" s="167"/>
      <c r="Y119" s="161"/>
      <c r="Z119" s="167"/>
      <c r="AB119" s="150"/>
      <c r="AC119" s="150"/>
      <c r="AD119" s="150"/>
      <c r="AE119" s="150"/>
      <c r="AG119" s="150"/>
      <c r="AH119" s="188"/>
      <c r="AI119" s="187"/>
      <c r="AJ119" s="150"/>
      <c r="AK119" s="211"/>
      <c r="AL119" s="150"/>
      <c r="AM119" s="212"/>
      <c r="AO119" s="159"/>
      <c r="AR119" s="167"/>
      <c r="AS119" s="161"/>
      <c r="AT119" s="167"/>
      <c r="AZ119" s="167"/>
      <c r="BB119" s="150"/>
      <c r="BC119" s="150"/>
      <c r="BD119" s="150"/>
      <c r="BE119" s="150"/>
      <c r="BG119" s="150"/>
      <c r="BH119" s="188"/>
      <c r="BI119" s="187"/>
      <c r="BJ119" s="150"/>
      <c r="BK119" s="211"/>
      <c r="BL119" s="150"/>
      <c r="BM119" s="212"/>
      <c r="BO119" s="159"/>
      <c r="BR119" s="167"/>
      <c r="BS119" s="161"/>
      <c r="BT119" s="167"/>
      <c r="BU119" s="161"/>
      <c r="BV119" s="167"/>
      <c r="BW119" s="161"/>
      <c r="BX119" s="167"/>
    </row>
    <row r="120" spans="2:76" s="150" customFormat="1" x14ac:dyDescent="0.25">
      <c r="B120" s="151"/>
      <c r="C120" s="213"/>
      <c r="D120" s="151"/>
      <c r="E120" s="213"/>
      <c r="F120" s="151"/>
      <c r="G120" s="151"/>
      <c r="H120" s="151"/>
      <c r="I120" s="180"/>
      <c r="J120" s="151"/>
      <c r="K120" s="151"/>
      <c r="L120" s="151"/>
      <c r="M120" s="151"/>
      <c r="N120" s="151"/>
      <c r="O120" s="151"/>
      <c r="R120" s="167"/>
      <c r="S120" s="167"/>
      <c r="T120" s="167"/>
      <c r="U120" s="167"/>
      <c r="V120" s="167"/>
      <c r="W120" s="167"/>
      <c r="X120" s="167"/>
      <c r="Y120" s="167"/>
      <c r="Z120" s="167"/>
      <c r="AB120" s="151"/>
      <c r="AC120" s="213"/>
      <c r="AD120" s="151"/>
      <c r="AE120" s="213"/>
      <c r="AF120" s="151"/>
      <c r="AG120" s="151"/>
      <c r="AH120" s="151"/>
      <c r="AI120" s="180"/>
      <c r="AJ120" s="151"/>
      <c r="AK120" s="151"/>
      <c r="AL120" s="151"/>
      <c r="AM120" s="151"/>
      <c r="AN120" s="151"/>
      <c r="AO120" s="151"/>
      <c r="AR120" s="167"/>
      <c r="AS120" s="167"/>
      <c r="AT120" s="167"/>
      <c r="AZ120" s="167"/>
      <c r="BB120" s="151"/>
      <c r="BC120" s="213"/>
      <c r="BD120" s="151"/>
      <c r="BE120" s="213"/>
      <c r="BF120" s="151"/>
      <c r="BG120" s="151"/>
      <c r="BH120" s="151"/>
      <c r="BI120" s="180"/>
      <c r="BJ120" s="151"/>
      <c r="BK120" s="151"/>
      <c r="BL120" s="151"/>
      <c r="BM120" s="151"/>
      <c r="BN120" s="151"/>
      <c r="BO120" s="151"/>
      <c r="BR120" s="167"/>
      <c r="BS120" s="167"/>
      <c r="BT120" s="167"/>
      <c r="BU120" s="167"/>
      <c r="BV120" s="167"/>
      <c r="BW120" s="167"/>
      <c r="BX120" s="167"/>
    </row>
    <row r="121" spans="2:76" x14ac:dyDescent="0.25">
      <c r="B121" s="150"/>
      <c r="C121" s="150"/>
      <c r="D121" s="150"/>
      <c r="E121" s="150"/>
      <c r="F121" s="150"/>
      <c r="G121" s="150"/>
      <c r="H121" s="150"/>
      <c r="I121" s="187"/>
      <c r="J121" s="150"/>
      <c r="K121" s="150"/>
      <c r="L121" s="150"/>
      <c r="M121" s="150"/>
      <c r="N121" s="150"/>
      <c r="R121" s="167"/>
      <c r="S121" s="161"/>
      <c r="T121" s="167"/>
      <c r="U121" s="161"/>
      <c r="V121" s="167"/>
      <c r="W121" s="161"/>
      <c r="X121" s="167"/>
      <c r="Y121" s="161"/>
      <c r="Z121" s="167"/>
      <c r="AB121" s="150"/>
      <c r="AC121" s="150"/>
      <c r="AD121" s="150"/>
      <c r="AE121" s="150"/>
      <c r="AF121" s="150"/>
      <c r="AG121" s="150"/>
      <c r="AH121" s="150"/>
      <c r="AI121" s="187"/>
      <c r="AJ121" s="150"/>
      <c r="AK121" s="150"/>
      <c r="AL121" s="150"/>
      <c r="AM121" s="150"/>
      <c r="AN121" s="150"/>
      <c r="AR121" s="167"/>
      <c r="AS121" s="161"/>
      <c r="AT121" s="167"/>
      <c r="AZ121" s="167"/>
      <c r="BB121" s="150"/>
      <c r="BC121" s="150"/>
      <c r="BD121" s="150"/>
      <c r="BE121" s="150"/>
      <c r="BF121" s="150"/>
      <c r="BG121" s="150"/>
      <c r="BH121" s="150"/>
      <c r="BI121" s="187"/>
      <c r="BJ121" s="150"/>
      <c r="BK121" s="150"/>
      <c r="BL121" s="150"/>
      <c r="BM121" s="150"/>
      <c r="BN121" s="150"/>
      <c r="BR121" s="167"/>
      <c r="BS121" s="161"/>
      <c r="BT121" s="167"/>
      <c r="BU121" s="161"/>
      <c r="BV121" s="167"/>
      <c r="BW121" s="161"/>
      <c r="BX121" s="167"/>
    </row>
    <row r="122" spans="2:76" s="150" customFormat="1" x14ac:dyDescent="0.25">
      <c r="B122" s="151"/>
      <c r="C122" s="151"/>
      <c r="D122" s="151"/>
      <c r="E122" s="151"/>
      <c r="F122" s="208"/>
      <c r="G122" s="151"/>
      <c r="H122" s="208"/>
      <c r="I122" s="110"/>
      <c r="J122" s="208"/>
      <c r="K122" s="151"/>
      <c r="L122" s="208"/>
      <c r="M122" s="151"/>
      <c r="N122" s="208"/>
      <c r="O122" s="151"/>
      <c r="R122" s="167"/>
      <c r="S122" s="167"/>
      <c r="T122" s="167"/>
      <c r="U122" s="167"/>
      <c r="V122" s="167"/>
      <c r="W122" s="167"/>
      <c r="X122" s="167"/>
      <c r="Y122" s="167"/>
      <c r="Z122" s="167"/>
      <c r="AB122" s="151"/>
      <c r="AC122" s="151"/>
      <c r="AD122" s="151"/>
      <c r="AE122" s="151"/>
      <c r="AF122" s="208"/>
      <c r="AG122" s="151"/>
      <c r="AH122" s="208"/>
      <c r="AI122" s="110"/>
      <c r="AJ122" s="208"/>
      <c r="AK122" s="151"/>
      <c r="AL122" s="208"/>
      <c r="AM122" s="151"/>
      <c r="AN122" s="208"/>
      <c r="AO122" s="151"/>
      <c r="AR122" s="167"/>
      <c r="AS122" s="167"/>
      <c r="AT122" s="167"/>
      <c r="AZ122" s="167"/>
      <c r="BB122" s="151"/>
      <c r="BC122" s="151"/>
      <c r="BD122" s="151"/>
      <c r="BE122" s="151"/>
      <c r="BF122" s="208"/>
      <c r="BG122" s="151"/>
      <c r="BH122" s="208"/>
      <c r="BI122" s="110"/>
      <c r="BJ122" s="208"/>
      <c r="BK122" s="151"/>
      <c r="BL122" s="208"/>
      <c r="BM122" s="151"/>
      <c r="BN122" s="208"/>
      <c r="BO122" s="151"/>
      <c r="BR122" s="167"/>
      <c r="BS122" s="167"/>
      <c r="BT122" s="167"/>
      <c r="BU122" s="167"/>
      <c r="BV122" s="167"/>
      <c r="BW122" s="167"/>
      <c r="BX122" s="167"/>
    </row>
    <row r="123" spans="2:76" x14ac:dyDescent="0.25">
      <c r="B123" s="150"/>
      <c r="C123" s="150"/>
      <c r="D123" s="150"/>
      <c r="E123" s="150"/>
      <c r="F123" s="150"/>
      <c r="G123" s="150"/>
      <c r="H123" s="150"/>
      <c r="I123" s="187"/>
      <c r="J123" s="150"/>
      <c r="K123" s="150"/>
      <c r="L123" s="150"/>
      <c r="M123" s="150"/>
      <c r="N123" s="150"/>
      <c r="O123" s="150"/>
      <c r="R123" s="167"/>
      <c r="S123" s="161"/>
      <c r="T123" s="167"/>
      <c r="U123" s="161"/>
      <c r="V123" s="167"/>
      <c r="W123" s="161"/>
      <c r="X123" s="167"/>
      <c r="Y123" s="161"/>
      <c r="Z123" s="167"/>
      <c r="AB123" s="150"/>
      <c r="AC123" s="150"/>
      <c r="AD123" s="150"/>
      <c r="AE123" s="150"/>
      <c r="AF123" s="150"/>
      <c r="AG123" s="150"/>
      <c r="AH123" s="150"/>
      <c r="AI123" s="187"/>
      <c r="AJ123" s="150"/>
      <c r="AK123" s="150"/>
      <c r="AL123" s="150"/>
      <c r="AM123" s="150"/>
      <c r="AN123" s="150"/>
      <c r="AO123" s="150"/>
      <c r="AR123" s="167"/>
      <c r="AS123" s="161"/>
      <c r="AT123" s="167"/>
      <c r="AZ123" s="167"/>
      <c r="BB123" s="150"/>
      <c r="BC123" s="150"/>
      <c r="BD123" s="150"/>
      <c r="BE123" s="150"/>
      <c r="BF123" s="150"/>
      <c r="BG123" s="150"/>
      <c r="BH123" s="150"/>
      <c r="BI123" s="187"/>
      <c r="BJ123" s="150"/>
      <c r="BK123" s="150"/>
      <c r="BL123" s="150"/>
      <c r="BM123" s="150"/>
      <c r="BN123" s="150"/>
      <c r="BO123" s="150"/>
      <c r="BR123" s="167"/>
      <c r="BS123" s="161"/>
      <c r="BT123" s="167"/>
      <c r="BU123" s="161"/>
      <c r="BV123" s="167"/>
      <c r="BW123" s="161"/>
      <c r="BX123" s="167"/>
    </row>
    <row r="124" spans="2:76" x14ac:dyDescent="0.25">
      <c r="B124" s="210"/>
      <c r="C124" s="150"/>
      <c r="D124" s="157"/>
      <c r="E124" s="150"/>
      <c r="F124" s="157"/>
      <c r="G124" s="150"/>
      <c r="H124" s="150"/>
      <c r="I124" s="110"/>
      <c r="R124" s="167"/>
      <c r="S124" s="167"/>
      <c r="T124" s="167"/>
      <c r="U124" s="167"/>
      <c r="V124" s="167"/>
      <c r="W124" s="167"/>
      <c r="X124" s="167"/>
      <c r="Y124" s="167"/>
      <c r="Z124" s="167"/>
      <c r="AB124" s="210"/>
      <c r="AC124" s="150"/>
      <c r="AD124" s="157"/>
      <c r="AE124" s="150"/>
      <c r="AF124" s="157"/>
      <c r="AG124" s="150"/>
      <c r="AH124" s="150"/>
      <c r="AI124" s="110"/>
      <c r="AR124" s="167"/>
      <c r="AS124" s="167"/>
      <c r="AT124" s="167"/>
      <c r="AU124" s="150"/>
      <c r="AZ124" s="167"/>
      <c r="BB124" s="210"/>
      <c r="BC124" s="150"/>
      <c r="BD124" s="157"/>
      <c r="BE124" s="150"/>
      <c r="BF124" s="157"/>
      <c r="BG124" s="150"/>
      <c r="BH124" s="150"/>
      <c r="BI124" s="110"/>
      <c r="BR124" s="167"/>
      <c r="BS124" s="167"/>
      <c r="BT124" s="167"/>
      <c r="BU124" s="167"/>
      <c r="BV124" s="167"/>
      <c r="BW124" s="167"/>
      <c r="BX124" s="167"/>
    </row>
    <row r="125" spans="2:76" x14ac:dyDescent="0.25">
      <c r="B125" s="150"/>
      <c r="C125" s="150"/>
      <c r="D125" s="157"/>
      <c r="E125" s="150"/>
      <c r="F125" s="157"/>
      <c r="G125" s="150"/>
      <c r="H125" s="150"/>
      <c r="I125" s="110"/>
      <c r="R125" s="167"/>
      <c r="S125" s="161"/>
      <c r="T125" s="167"/>
      <c r="U125" s="161"/>
      <c r="V125" s="167"/>
      <c r="W125" s="161"/>
      <c r="X125" s="167"/>
      <c r="Y125" s="161"/>
      <c r="Z125" s="167"/>
      <c r="AB125" s="150"/>
      <c r="AC125" s="150"/>
      <c r="AD125" s="157"/>
      <c r="AE125" s="150"/>
      <c r="AF125" s="157"/>
      <c r="AG125" s="150"/>
      <c r="AH125" s="150"/>
      <c r="AI125" s="110"/>
      <c r="AR125" s="167"/>
      <c r="AS125" s="161"/>
      <c r="AT125" s="167"/>
      <c r="AZ125" s="167"/>
      <c r="BB125" s="150"/>
      <c r="BC125" s="150"/>
      <c r="BD125" s="157"/>
      <c r="BE125" s="150"/>
      <c r="BF125" s="157"/>
      <c r="BG125" s="150"/>
      <c r="BH125" s="150"/>
      <c r="BI125" s="110"/>
      <c r="BR125" s="167"/>
      <c r="BS125" s="161"/>
      <c r="BT125" s="167"/>
      <c r="BU125" s="161"/>
      <c r="BV125" s="167"/>
      <c r="BW125" s="161"/>
      <c r="BX125" s="167"/>
    </row>
    <row r="126" spans="2:76" x14ac:dyDescent="0.25">
      <c r="B126" s="210"/>
      <c r="C126" s="150"/>
      <c r="D126" s="157"/>
      <c r="E126" s="150"/>
      <c r="F126" s="157"/>
      <c r="G126" s="150"/>
      <c r="I126" s="110"/>
      <c r="R126" s="167"/>
      <c r="S126" s="167"/>
      <c r="T126" s="167"/>
      <c r="U126" s="167"/>
      <c r="V126" s="167"/>
      <c r="W126" s="167"/>
      <c r="X126" s="167"/>
      <c r="Y126" s="167"/>
      <c r="Z126" s="167"/>
      <c r="AB126" s="210"/>
      <c r="AC126" s="150"/>
      <c r="AD126" s="157"/>
      <c r="AE126" s="150"/>
      <c r="AF126" s="157"/>
      <c r="AG126" s="150"/>
      <c r="AI126" s="110"/>
      <c r="AR126" s="167"/>
      <c r="AS126" s="167"/>
      <c r="AT126" s="167"/>
      <c r="AU126" s="150"/>
      <c r="AZ126" s="167"/>
      <c r="BB126" s="210"/>
      <c r="BC126" s="150"/>
      <c r="BD126" s="157"/>
      <c r="BE126" s="150"/>
      <c r="BF126" s="157"/>
      <c r="BG126" s="150"/>
      <c r="BI126" s="110"/>
      <c r="BR126" s="167"/>
      <c r="BS126" s="167"/>
      <c r="BT126" s="167"/>
      <c r="BU126" s="167"/>
      <c r="BV126" s="167"/>
      <c r="BW126" s="167"/>
      <c r="BX126" s="167"/>
    </row>
    <row r="127" spans="2:76" s="150" customFormat="1" ht="15" customHeight="1" x14ac:dyDescent="0.25">
      <c r="B127" s="210"/>
      <c r="D127" s="157"/>
      <c r="F127" s="157"/>
      <c r="H127" s="151"/>
      <c r="I127" s="110"/>
      <c r="J127" s="151"/>
      <c r="K127" s="151"/>
      <c r="L127" s="151"/>
      <c r="M127" s="151"/>
      <c r="N127" s="151"/>
      <c r="O127" s="151"/>
      <c r="R127" s="167"/>
      <c r="S127" s="161"/>
      <c r="T127" s="167"/>
      <c r="U127" s="161"/>
      <c r="V127" s="167"/>
      <c r="W127" s="161"/>
      <c r="X127" s="167"/>
      <c r="Y127" s="161"/>
      <c r="Z127" s="167"/>
      <c r="AB127" s="210"/>
      <c r="AD127" s="157"/>
      <c r="AF127" s="157"/>
      <c r="AH127" s="151"/>
      <c r="AI127" s="110"/>
      <c r="AJ127" s="151"/>
      <c r="AK127" s="151"/>
      <c r="AL127" s="151"/>
      <c r="AM127" s="151"/>
      <c r="AN127" s="151"/>
      <c r="AO127" s="151"/>
      <c r="AR127" s="167"/>
      <c r="AS127" s="161"/>
      <c r="AT127" s="167"/>
      <c r="AU127" s="151"/>
      <c r="AZ127" s="167"/>
      <c r="BB127" s="210"/>
      <c r="BD127" s="157"/>
      <c r="BF127" s="157"/>
      <c r="BH127" s="151"/>
      <c r="BI127" s="110"/>
      <c r="BJ127" s="151"/>
      <c r="BK127" s="151"/>
      <c r="BL127" s="151"/>
      <c r="BM127" s="151"/>
      <c r="BN127" s="151"/>
      <c r="BO127" s="151"/>
      <c r="BR127" s="167"/>
      <c r="BS127" s="161"/>
      <c r="BT127" s="167"/>
      <c r="BU127" s="161"/>
      <c r="BV127" s="167"/>
      <c r="BW127" s="161"/>
      <c r="BX127" s="167"/>
    </row>
    <row r="128" spans="2:76" ht="15" customHeight="1" x14ac:dyDescent="0.25">
      <c r="B128" s="150"/>
      <c r="C128" s="150"/>
      <c r="D128" s="150"/>
      <c r="E128" s="150"/>
      <c r="F128" s="150"/>
      <c r="G128" s="150"/>
      <c r="H128" s="150"/>
      <c r="I128" s="187"/>
      <c r="J128" s="150"/>
      <c r="K128" s="150"/>
      <c r="L128" s="150"/>
      <c r="M128" s="150"/>
      <c r="N128" s="150"/>
      <c r="O128" s="150"/>
      <c r="R128" s="167"/>
      <c r="S128" s="167"/>
      <c r="T128" s="167"/>
      <c r="U128" s="167"/>
      <c r="V128" s="167"/>
      <c r="W128" s="167"/>
      <c r="X128" s="167"/>
      <c r="Y128" s="167"/>
      <c r="Z128" s="167"/>
      <c r="AB128" s="150"/>
      <c r="AC128" s="150"/>
      <c r="AD128" s="150"/>
      <c r="AE128" s="150"/>
      <c r="AF128" s="150"/>
      <c r="AG128" s="150"/>
      <c r="AH128" s="150"/>
      <c r="AI128" s="187"/>
      <c r="AJ128" s="150"/>
      <c r="AK128" s="150"/>
      <c r="AL128" s="150"/>
      <c r="AM128" s="150"/>
      <c r="AN128" s="150"/>
      <c r="AO128" s="150"/>
      <c r="AR128" s="167"/>
      <c r="AS128" s="167"/>
      <c r="AT128" s="167"/>
      <c r="AU128" s="150"/>
      <c r="AZ128" s="167"/>
      <c r="BB128" s="150"/>
      <c r="BC128" s="150"/>
      <c r="BD128" s="150"/>
      <c r="BE128" s="150"/>
      <c r="BF128" s="150"/>
      <c r="BG128" s="150"/>
      <c r="BH128" s="150"/>
      <c r="BI128" s="187"/>
      <c r="BJ128" s="150"/>
      <c r="BK128" s="150"/>
      <c r="BL128" s="150"/>
      <c r="BM128" s="150"/>
      <c r="BN128" s="150"/>
      <c r="BO128" s="150"/>
      <c r="BR128" s="167"/>
      <c r="BS128" s="167"/>
      <c r="BT128" s="167"/>
      <c r="BU128" s="167"/>
      <c r="BV128" s="167"/>
      <c r="BW128" s="167"/>
      <c r="BX128" s="167"/>
    </row>
    <row r="129" spans="2:76" ht="15" customHeight="1" x14ac:dyDescent="0.25">
      <c r="I129" s="110"/>
      <c r="R129" s="167"/>
      <c r="S129" s="161"/>
      <c r="T129" s="167"/>
      <c r="U129" s="161"/>
      <c r="V129" s="167"/>
      <c r="W129" s="161"/>
      <c r="X129" s="167"/>
      <c r="Y129" s="161"/>
      <c r="Z129" s="167"/>
      <c r="AI129" s="110"/>
      <c r="AR129" s="167"/>
      <c r="AS129" s="161"/>
      <c r="AT129" s="167"/>
      <c r="AZ129" s="167"/>
      <c r="BI129" s="110"/>
      <c r="BR129" s="167"/>
      <c r="BS129" s="161"/>
      <c r="BT129" s="167"/>
      <c r="BU129" s="161"/>
      <c r="BV129" s="167"/>
      <c r="BW129" s="161"/>
      <c r="BX129" s="167"/>
    </row>
    <row r="130" spans="2:76" ht="15" customHeight="1" x14ac:dyDescent="0.25">
      <c r="R130" s="167"/>
      <c r="S130" s="167"/>
      <c r="T130" s="167"/>
      <c r="U130" s="167"/>
      <c r="V130" s="167"/>
      <c r="W130" s="167"/>
      <c r="X130" s="167"/>
      <c r="Y130" s="167"/>
      <c r="Z130" s="167"/>
      <c r="AR130" s="167"/>
      <c r="AS130" s="167"/>
      <c r="AT130" s="167"/>
      <c r="AU130" s="150"/>
      <c r="AZ130" s="167"/>
      <c r="BR130" s="167"/>
      <c r="BS130" s="167"/>
      <c r="BT130" s="167"/>
      <c r="BU130" s="167"/>
      <c r="BV130" s="167"/>
      <c r="BW130" s="167"/>
      <c r="BX130" s="167"/>
    </row>
    <row r="131" spans="2:76" s="150" customFormat="1" ht="15" customHeight="1" x14ac:dyDescent="0.25">
      <c r="B131" s="151"/>
      <c r="C131" s="151"/>
      <c r="D131" s="151"/>
      <c r="E131" s="151"/>
      <c r="F131" s="151"/>
      <c r="G131" s="151"/>
      <c r="H131" s="151"/>
      <c r="I131" s="110"/>
      <c r="J131" s="151"/>
      <c r="K131" s="151"/>
      <c r="L131" s="151"/>
      <c r="M131" s="151"/>
      <c r="N131" s="151"/>
      <c r="O131" s="151"/>
      <c r="R131" s="167"/>
      <c r="S131" s="161"/>
      <c r="T131" s="167"/>
      <c r="U131" s="161"/>
      <c r="V131" s="167"/>
      <c r="W131" s="161"/>
      <c r="X131" s="167"/>
      <c r="Y131" s="161"/>
      <c r="Z131" s="167"/>
      <c r="AB131" s="151"/>
      <c r="AC131" s="151"/>
      <c r="AD131" s="151"/>
      <c r="AE131" s="151"/>
      <c r="AF131" s="151"/>
      <c r="AG131" s="151"/>
      <c r="AH131" s="151"/>
      <c r="AI131" s="110"/>
      <c r="AJ131" s="151"/>
      <c r="AK131" s="151"/>
      <c r="AL131" s="151"/>
      <c r="AM131" s="151"/>
      <c r="AN131" s="151"/>
      <c r="AO131" s="151"/>
      <c r="AR131" s="167"/>
      <c r="AS131" s="161"/>
      <c r="AT131" s="167"/>
      <c r="AU131" s="151"/>
      <c r="AZ131" s="167"/>
      <c r="BB131" s="151"/>
      <c r="BC131" s="151"/>
      <c r="BD131" s="151"/>
      <c r="BE131" s="151"/>
      <c r="BF131" s="151"/>
      <c r="BG131" s="151"/>
      <c r="BH131" s="151"/>
      <c r="BI131" s="110"/>
      <c r="BJ131" s="151"/>
      <c r="BK131" s="151"/>
      <c r="BL131" s="151"/>
      <c r="BM131" s="151"/>
      <c r="BN131" s="151"/>
      <c r="BO131" s="151"/>
      <c r="BR131" s="167"/>
      <c r="BS131" s="161"/>
      <c r="BT131" s="167"/>
      <c r="BU131" s="161"/>
      <c r="BV131" s="167"/>
      <c r="BW131" s="161"/>
      <c r="BX131" s="167"/>
    </row>
    <row r="132" spans="2:76" x14ac:dyDescent="0.25">
      <c r="B132" s="150"/>
      <c r="C132" s="150"/>
      <c r="D132" s="150"/>
      <c r="E132" s="150"/>
      <c r="F132" s="150"/>
      <c r="G132" s="150"/>
      <c r="H132" s="150"/>
      <c r="I132" s="187"/>
      <c r="J132" s="150"/>
      <c r="K132" s="150"/>
      <c r="L132" s="150"/>
      <c r="M132" s="150"/>
      <c r="N132" s="150"/>
      <c r="O132" s="150"/>
      <c r="R132" s="167"/>
      <c r="S132" s="167"/>
      <c r="T132" s="167"/>
      <c r="U132" s="167"/>
      <c r="V132" s="167"/>
      <c r="W132" s="167"/>
      <c r="X132" s="167"/>
      <c r="Y132" s="167"/>
      <c r="Z132" s="167"/>
      <c r="AB132" s="150"/>
      <c r="AC132" s="150"/>
      <c r="AD132" s="150"/>
      <c r="AE132" s="150"/>
      <c r="AF132" s="150"/>
      <c r="AG132" s="150"/>
      <c r="AH132" s="150"/>
      <c r="AI132" s="187"/>
      <c r="AJ132" s="150"/>
      <c r="AK132" s="150"/>
      <c r="AL132" s="150"/>
      <c r="AM132" s="150"/>
      <c r="AN132" s="150"/>
      <c r="AO132" s="150"/>
      <c r="AR132" s="167"/>
      <c r="AS132" s="167"/>
      <c r="AT132" s="167"/>
      <c r="AU132" s="150"/>
      <c r="AZ132" s="167"/>
      <c r="BB132" s="150"/>
      <c r="BC132" s="150"/>
      <c r="BD132" s="150"/>
      <c r="BE132" s="150"/>
      <c r="BF132" s="150"/>
      <c r="BG132" s="150"/>
      <c r="BH132" s="150"/>
      <c r="BI132" s="187"/>
      <c r="BJ132" s="150"/>
      <c r="BK132" s="150"/>
      <c r="BL132" s="150"/>
      <c r="BM132" s="150"/>
      <c r="BN132" s="150"/>
      <c r="BO132" s="150"/>
      <c r="BR132" s="167"/>
      <c r="BS132" s="167"/>
      <c r="BT132" s="167"/>
      <c r="BU132" s="167"/>
      <c r="BV132" s="167"/>
      <c r="BW132" s="167"/>
      <c r="BX132" s="167"/>
    </row>
    <row r="133" spans="2:76" s="210" customFormat="1" x14ac:dyDescent="0.25">
      <c r="B133" s="151"/>
      <c r="C133" s="151"/>
      <c r="D133" s="151"/>
      <c r="E133" s="151"/>
      <c r="F133" s="151"/>
      <c r="G133" s="151"/>
      <c r="H133" s="151"/>
      <c r="I133" s="110"/>
      <c r="J133" s="151"/>
      <c r="K133" s="151"/>
      <c r="L133" s="151"/>
      <c r="M133" s="151"/>
      <c r="N133" s="151"/>
      <c r="O133" s="151"/>
      <c r="R133" s="167"/>
      <c r="S133" s="161"/>
      <c r="T133" s="167"/>
      <c r="U133" s="161"/>
      <c r="V133" s="167"/>
      <c r="W133" s="161"/>
      <c r="X133" s="167"/>
      <c r="Y133" s="161"/>
      <c r="Z133" s="167"/>
      <c r="AB133" s="151"/>
      <c r="AC133" s="151"/>
      <c r="AD133" s="151"/>
      <c r="AE133" s="151"/>
      <c r="AF133" s="151"/>
      <c r="AG133" s="151"/>
      <c r="AH133" s="151"/>
      <c r="AI133" s="110"/>
      <c r="AJ133" s="151"/>
      <c r="AK133" s="151"/>
      <c r="AL133" s="151"/>
      <c r="AM133" s="151"/>
      <c r="AN133" s="151"/>
      <c r="AO133" s="151"/>
      <c r="AR133" s="167"/>
      <c r="AS133" s="161"/>
      <c r="AT133" s="167"/>
      <c r="AU133" s="151"/>
      <c r="AZ133" s="167"/>
      <c r="BB133" s="151"/>
      <c r="BC133" s="151"/>
      <c r="BD133" s="151"/>
      <c r="BE133" s="151"/>
      <c r="BF133" s="151"/>
      <c r="BG133" s="151"/>
      <c r="BH133" s="151"/>
      <c r="BI133" s="110"/>
      <c r="BJ133" s="151"/>
      <c r="BK133" s="151"/>
      <c r="BL133" s="151"/>
      <c r="BM133" s="151"/>
      <c r="BN133" s="151"/>
      <c r="BO133" s="151"/>
      <c r="BR133" s="167"/>
      <c r="BS133" s="161"/>
      <c r="BT133" s="167"/>
      <c r="BU133" s="161"/>
      <c r="BV133" s="167"/>
      <c r="BW133" s="161"/>
      <c r="BX133" s="167"/>
    </row>
    <row r="134" spans="2:76" x14ac:dyDescent="0.25">
      <c r="B134" s="210"/>
      <c r="C134" s="210"/>
      <c r="D134" s="210"/>
      <c r="E134" s="210"/>
      <c r="F134" s="210"/>
      <c r="G134" s="210"/>
      <c r="H134" s="210"/>
      <c r="I134" s="187"/>
      <c r="J134" s="210"/>
      <c r="K134" s="210"/>
      <c r="L134" s="210"/>
      <c r="M134" s="210"/>
      <c r="N134" s="210"/>
      <c r="O134" s="210"/>
      <c r="R134" s="167"/>
      <c r="S134" s="167"/>
      <c r="T134" s="167"/>
      <c r="U134" s="167"/>
      <c r="V134" s="167"/>
      <c r="W134" s="167"/>
      <c r="X134" s="167"/>
      <c r="Y134" s="167"/>
      <c r="Z134" s="167"/>
      <c r="AB134" s="210"/>
      <c r="AC134" s="210"/>
      <c r="AD134" s="210"/>
      <c r="AE134" s="210"/>
      <c r="AF134" s="210"/>
      <c r="AG134" s="210"/>
      <c r="AH134" s="210"/>
      <c r="AI134" s="187"/>
      <c r="AJ134" s="210"/>
      <c r="AK134" s="210"/>
      <c r="AL134" s="210"/>
      <c r="AM134" s="210"/>
      <c r="AN134" s="210"/>
      <c r="AO134" s="210"/>
      <c r="AR134" s="167"/>
      <c r="AS134" s="167"/>
      <c r="AT134" s="167"/>
      <c r="AU134" s="150"/>
      <c r="AZ134" s="167"/>
      <c r="BB134" s="210"/>
      <c r="BC134" s="210"/>
      <c r="BD134" s="210"/>
      <c r="BE134" s="210"/>
      <c r="BF134" s="210"/>
      <c r="BG134" s="210"/>
      <c r="BH134" s="210"/>
      <c r="BI134" s="187"/>
      <c r="BJ134" s="210"/>
      <c r="BK134" s="210"/>
      <c r="BL134" s="210"/>
      <c r="BM134" s="210"/>
      <c r="BN134" s="210"/>
      <c r="BO134" s="210"/>
      <c r="BR134" s="167"/>
      <c r="BS134" s="167"/>
      <c r="BT134" s="167"/>
      <c r="BU134" s="167"/>
      <c r="BV134" s="167"/>
      <c r="BW134" s="167"/>
      <c r="BX134" s="167"/>
    </row>
    <row r="135" spans="2:76" x14ac:dyDescent="0.25">
      <c r="R135" s="167"/>
      <c r="S135" s="161"/>
      <c r="T135" s="167"/>
      <c r="U135" s="161"/>
      <c r="V135" s="167"/>
      <c r="W135" s="161"/>
      <c r="X135" s="167"/>
      <c r="Y135" s="161"/>
      <c r="Z135" s="167"/>
      <c r="AR135" s="167"/>
      <c r="AS135" s="161"/>
      <c r="AT135" s="167"/>
      <c r="AZ135" s="167"/>
      <c r="BR135" s="167"/>
      <c r="BS135" s="161"/>
      <c r="BT135" s="167"/>
      <c r="BU135" s="161"/>
      <c r="BV135" s="167"/>
      <c r="BW135" s="161"/>
      <c r="BX135" s="167"/>
    </row>
    <row r="136" spans="2:76" ht="8.1" customHeight="1" x14ac:dyDescent="0.25">
      <c r="R136" s="167"/>
      <c r="S136" s="167"/>
      <c r="T136" s="167"/>
      <c r="U136" s="167"/>
      <c r="V136" s="167"/>
      <c r="W136" s="167"/>
      <c r="X136" s="167"/>
      <c r="Y136" s="167"/>
      <c r="Z136" s="167"/>
      <c r="AR136" s="167"/>
      <c r="AS136" s="167"/>
      <c r="AT136" s="167"/>
      <c r="AU136" s="150"/>
      <c r="AZ136" s="167"/>
      <c r="BR136" s="167"/>
      <c r="BS136" s="167"/>
      <c r="BT136" s="167"/>
      <c r="BU136" s="167"/>
      <c r="BV136" s="167"/>
      <c r="BW136" s="167"/>
      <c r="BX136" s="167"/>
    </row>
    <row r="137" spans="2:76" x14ac:dyDescent="0.25">
      <c r="I137" s="110"/>
      <c r="R137" s="167"/>
      <c r="S137" s="161"/>
      <c r="T137" s="167"/>
      <c r="U137" s="161"/>
      <c r="V137" s="167"/>
      <c r="W137" s="161"/>
      <c r="X137" s="167"/>
      <c r="Y137" s="161"/>
      <c r="Z137" s="167"/>
      <c r="AI137" s="110"/>
      <c r="AR137" s="167"/>
      <c r="AS137" s="161"/>
      <c r="AT137" s="167"/>
      <c r="AZ137" s="167"/>
      <c r="BI137" s="110"/>
      <c r="BR137" s="167"/>
      <c r="BS137" s="161"/>
      <c r="BT137" s="167"/>
      <c r="BU137" s="161"/>
      <c r="BV137" s="167"/>
      <c r="BW137" s="161"/>
      <c r="BX137" s="167"/>
    </row>
    <row r="138" spans="2:76" x14ac:dyDescent="0.25">
      <c r="R138" s="167"/>
      <c r="S138" s="167"/>
      <c r="T138" s="167"/>
      <c r="U138" s="167"/>
      <c r="V138" s="167"/>
      <c r="W138" s="167"/>
      <c r="X138" s="167"/>
      <c r="Y138" s="167"/>
      <c r="Z138" s="167"/>
      <c r="AR138" s="167"/>
      <c r="AS138" s="167"/>
      <c r="AT138" s="167"/>
      <c r="AU138" s="150"/>
      <c r="AZ138" s="167"/>
      <c r="BR138" s="167"/>
      <c r="BS138" s="167"/>
      <c r="BT138" s="167"/>
      <c r="BU138" s="167"/>
      <c r="BV138" s="167"/>
      <c r="BW138" s="167"/>
      <c r="BX138" s="167"/>
    </row>
    <row r="139" spans="2:76" x14ac:dyDescent="0.25">
      <c r="R139" s="167"/>
      <c r="S139" s="161"/>
      <c r="T139" s="167"/>
      <c r="U139" s="161"/>
      <c r="V139" s="167"/>
      <c r="W139" s="161"/>
      <c r="X139" s="167"/>
      <c r="Y139" s="161"/>
      <c r="Z139" s="167"/>
      <c r="AR139" s="167"/>
      <c r="AS139" s="161"/>
      <c r="AT139" s="167"/>
      <c r="AZ139" s="167"/>
      <c r="BR139" s="167"/>
      <c r="BS139" s="161"/>
      <c r="BT139" s="167"/>
      <c r="BU139" s="161"/>
      <c r="BV139" s="167"/>
      <c r="BW139" s="161"/>
      <c r="BX139" s="167"/>
    </row>
    <row r="140" spans="2:76" s="150" customFormat="1" ht="8.1" customHeight="1" x14ac:dyDescent="0.25">
      <c r="B140" s="151"/>
      <c r="C140" s="151"/>
      <c r="D140" s="151"/>
      <c r="E140" s="151"/>
      <c r="F140" s="151"/>
      <c r="G140" s="151"/>
      <c r="H140" s="151"/>
      <c r="I140" s="180"/>
      <c r="J140" s="151"/>
      <c r="K140" s="151"/>
      <c r="L140" s="151"/>
      <c r="M140" s="151"/>
      <c r="N140" s="151"/>
      <c r="O140" s="151"/>
      <c r="R140" s="167"/>
      <c r="S140" s="167"/>
      <c r="T140" s="167"/>
      <c r="U140" s="167"/>
      <c r="V140" s="167"/>
      <c r="W140" s="167"/>
      <c r="X140" s="167"/>
      <c r="Y140" s="167"/>
      <c r="Z140" s="167"/>
      <c r="AB140" s="151"/>
      <c r="AC140" s="151"/>
      <c r="AD140" s="151"/>
      <c r="AE140" s="151"/>
      <c r="AF140" s="151"/>
      <c r="AG140" s="151"/>
      <c r="AH140" s="151"/>
      <c r="AI140" s="180"/>
      <c r="AJ140" s="151"/>
      <c r="AK140" s="151"/>
      <c r="AL140" s="151"/>
      <c r="AM140" s="151"/>
      <c r="AN140" s="151"/>
      <c r="AO140" s="151"/>
      <c r="AR140" s="167"/>
      <c r="AS140" s="167"/>
      <c r="AT140" s="167"/>
      <c r="AZ140" s="167"/>
      <c r="BB140" s="151"/>
      <c r="BC140" s="151"/>
      <c r="BD140" s="151"/>
      <c r="BE140" s="151"/>
      <c r="BF140" s="151"/>
      <c r="BG140" s="151"/>
      <c r="BH140" s="151"/>
      <c r="BI140" s="180"/>
      <c r="BJ140" s="151"/>
      <c r="BK140" s="151"/>
      <c r="BL140" s="151"/>
      <c r="BM140" s="151"/>
      <c r="BN140" s="151"/>
      <c r="BO140" s="151"/>
      <c r="BR140" s="167"/>
      <c r="BS140" s="167"/>
      <c r="BT140" s="167"/>
      <c r="BU140" s="167"/>
      <c r="BV140" s="167"/>
      <c r="BW140" s="167"/>
      <c r="BX140" s="167"/>
    </row>
    <row r="141" spans="2:76" x14ac:dyDescent="0.25">
      <c r="B141" s="150"/>
      <c r="C141" s="150"/>
      <c r="D141" s="150"/>
      <c r="E141" s="150"/>
      <c r="F141" s="150"/>
      <c r="G141" s="150"/>
      <c r="H141" s="150"/>
      <c r="I141" s="187"/>
      <c r="J141" s="150"/>
      <c r="K141" s="150"/>
      <c r="L141" s="150"/>
      <c r="M141" s="150"/>
      <c r="N141" s="150"/>
      <c r="O141" s="150"/>
      <c r="R141" s="167"/>
      <c r="S141" s="161"/>
      <c r="T141" s="167"/>
      <c r="U141" s="161"/>
      <c r="V141" s="167"/>
      <c r="W141" s="161"/>
      <c r="X141" s="167"/>
      <c r="Y141" s="161"/>
      <c r="Z141" s="167"/>
      <c r="AB141" s="150"/>
      <c r="AC141" s="150"/>
      <c r="AD141" s="150"/>
      <c r="AE141" s="150"/>
      <c r="AF141" s="150"/>
      <c r="AG141" s="150"/>
      <c r="AH141" s="150"/>
      <c r="AI141" s="187"/>
      <c r="AJ141" s="150"/>
      <c r="AK141" s="150"/>
      <c r="AL141" s="150"/>
      <c r="AM141" s="150"/>
      <c r="AN141" s="150"/>
      <c r="AO141" s="150"/>
      <c r="AR141" s="167"/>
      <c r="AS141" s="161"/>
      <c r="AT141" s="167"/>
      <c r="AZ141" s="167"/>
      <c r="BB141" s="150"/>
      <c r="BC141" s="150"/>
      <c r="BD141" s="150"/>
      <c r="BE141" s="150"/>
      <c r="BF141" s="150"/>
      <c r="BG141" s="150"/>
      <c r="BH141" s="150"/>
      <c r="BI141" s="187"/>
      <c r="BJ141" s="150"/>
      <c r="BK141" s="150"/>
      <c r="BL141" s="150"/>
      <c r="BM141" s="150"/>
      <c r="BN141" s="150"/>
      <c r="BO141" s="150"/>
      <c r="BR141" s="167"/>
      <c r="BS141" s="161"/>
      <c r="BT141" s="167"/>
      <c r="BU141" s="161"/>
      <c r="BV141" s="167"/>
      <c r="BW141" s="161"/>
      <c r="BX141" s="167"/>
    </row>
    <row r="142" spans="2:76" x14ac:dyDescent="0.25">
      <c r="R142" s="167"/>
      <c r="S142" s="167"/>
      <c r="T142" s="167"/>
      <c r="U142" s="167"/>
      <c r="V142" s="167"/>
      <c r="W142" s="167"/>
      <c r="X142" s="167"/>
      <c r="Y142" s="167"/>
      <c r="Z142" s="167"/>
      <c r="AR142" s="167"/>
      <c r="AS142" s="167"/>
      <c r="AT142" s="167"/>
      <c r="AU142" s="150"/>
      <c r="AZ142" s="167"/>
      <c r="BR142" s="167"/>
      <c r="BS142" s="167"/>
      <c r="BT142" s="167"/>
      <c r="BU142" s="167"/>
      <c r="BV142" s="167"/>
      <c r="BW142" s="167"/>
      <c r="BX142" s="167"/>
    </row>
    <row r="143" spans="2:76" x14ac:dyDescent="0.25">
      <c r="R143" s="167"/>
      <c r="S143" s="161"/>
      <c r="T143" s="167"/>
      <c r="U143" s="161"/>
      <c r="V143" s="167"/>
      <c r="W143" s="161"/>
      <c r="X143" s="167"/>
      <c r="Y143" s="161"/>
      <c r="Z143" s="167"/>
      <c r="AR143" s="167"/>
      <c r="AS143" s="161"/>
      <c r="AT143" s="167"/>
      <c r="AZ143" s="167"/>
      <c r="BR143" s="167"/>
      <c r="BS143" s="161"/>
      <c r="BT143" s="167"/>
      <c r="BU143" s="161"/>
      <c r="BV143" s="167"/>
      <c r="BW143" s="161"/>
      <c r="BX143" s="167"/>
    </row>
    <row r="144" spans="2:76" x14ac:dyDescent="0.25">
      <c r="R144" s="167"/>
      <c r="S144" s="167"/>
      <c r="T144" s="167"/>
      <c r="U144" s="167"/>
      <c r="V144" s="167"/>
      <c r="W144" s="167"/>
      <c r="X144" s="167"/>
      <c r="Y144" s="167"/>
      <c r="Z144" s="167"/>
      <c r="AR144" s="167"/>
      <c r="AS144" s="167"/>
      <c r="AT144" s="167"/>
      <c r="AU144" s="150"/>
      <c r="AZ144" s="167"/>
      <c r="BR144" s="167"/>
      <c r="BS144" s="167"/>
      <c r="BT144" s="167"/>
      <c r="BU144" s="167"/>
      <c r="BV144" s="167"/>
      <c r="BW144" s="167"/>
      <c r="BX144" s="167"/>
    </row>
    <row r="145" spans="2:76" x14ac:dyDescent="0.25">
      <c r="R145" s="167"/>
      <c r="S145" s="161"/>
      <c r="T145" s="167"/>
      <c r="U145" s="161"/>
      <c r="V145" s="167"/>
      <c r="W145" s="161"/>
      <c r="X145" s="167"/>
      <c r="Y145" s="161"/>
      <c r="Z145" s="167"/>
      <c r="AR145" s="167"/>
      <c r="AS145" s="161"/>
      <c r="AT145" s="167"/>
      <c r="AZ145" s="167"/>
      <c r="BR145" s="167"/>
      <c r="BS145" s="161"/>
      <c r="BT145" s="167"/>
      <c r="BU145" s="161"/>
      <c r="BV145" s="167"/>
      <c r="BW145" s="161"/>
      <c r="BX145" s="167"/>
    </row>
    <row r="146" spans="2:76" x14ac:dyDescent="0.25">
      <c r="R146" s="167"/>
      <c r="S146" s="167"/>
      <c r="T146" s="167"/>
      <c r="U146" s="167"/>
      <c r="V146" s="167"/>
      <c r="W146" s="167"/>
      <c r="X146" s="167"/>
      <c r="Y146" s="167"/>
      <c r="Z146" s="167"/>
      <c r="AR146" s="167"/>
      <c r="AS146" s="167"/>
      <c r="AT146" s="167"/>
      <c r="AU146" s="150"/>
      <c r="AZ146" s="167"/>
      <c r="BR146" s="167"/>
      <c r="BS146" s="167"/>
      <c r="BT146" s="167"/>
      <c r="BU146" s="167"/>
      <c r="BV146" s="167"/>
      <c r="BW146" s="167"/>
      <c r="BX146" s="167"/>
    </row>
    <row r="147" spans="2:76" ht="8.1" customHeight="1" x14ac:dyDescent="0.25">
      <c r="R147" s="167"/>
      <c r="S147" s="161"/>
      <c r="T147" s="167"/>
      <c r="U147" s="161"/>
      <c r="V147" s="167"/>
      <c r="W147" s="161"/>
      <c r="X147" s="167"/>
      <c r="Y147" s="161"/>
      <c r="Z147" s="167"/>
      <c r="AR147" s="167"/>
      <c r="AS147" s="161"/>
      <c r="AT147" s="167"/>
      <c r="AZ147" s="167"/>
      <c r="BR147" s="167"/>
      <c r="BS147" s="161"/>
      <c r="BT147" s="167"/>
      <c r="BU147" s="161"/>
      <c r="BV147" s="167"/>
      <c r="BW147" s="161"/>
      <c r="BX147" s="167"/>
    </row>
    <row r="148" spans="2:76" x14ac:dyDescent="0.25">
      <c r="R148" s="167"/>
      <c r="S148" s="167"/>
      <c r="T148" s="167"/>
      <c r="U148" s="167"/>
      <c r="V148" s="167"/>
      <c r="W148" s="167"/>
      <c r="X148" s="167"/>
      <c r="Y148" s="167"/>
      <c r="Z148" s="167"/>
      <c r="AR148" s="167"/>
      <c r="AS148" s="167"/>
      <c r="AT148" s="167"/>
      <c r="AU148" s="150"/>
      <c r="AZ148" s="167"/>
      <c r="BR148" s="167"/>
      <c r="BS148" s="167"/>
      <c r="BT148" s="167"/>
      <c r="BU148" s="167"/>
      <c r="BV148" s="167"/>
      <c r="BW148" s="167"/>
      <c r="BX148" s="167"/>
    </row>
    <row r="149" spans="2:76" s="150" customFormat="1" ht="8.1" customHeight="1" x14ac:dyDescent="0.25">
      <c r="B149" s="151"/>
      <c r="C149" s="151"/>
      <c r="D149" s="151"/>
      <c r="E149" s="151"/>
      <c r="F149" s="151"/>
      <c r="G149" s="151"/>
      <c r="H149" s="151"/>
      <c r="I149" s="180"/>
      <c r="J149" s="151"/>
      <c r="K149" s="151"/>
      <c r="L149" s="151"/>
      <c r="M149" s="151"/>
      <c r="N149" s="151"/>
      <c r="O149" s="151"/>
      <c r="R149" s="167"/>
      <c r="S149" s="161"/>
      <c r="T149" s="167"/>
      <c r="U149" s="161"/>
      <c r="V149" s="167"/>
      <c r="W149" s="161"/>
      <c r="X149" s="167"/>
      <c r="Y149" s="161"/>
      <c r="Z149" s="167"/>
      <c r="AB149" s="151"/>
      <c r="AC149" s="151"/>
      <c r="AD149" s="151"/>
      <c r="AE149" s="151"/>
      <c r="AF149" s="151"/>
      <c r="AG149" s="151"/>
      <c r="AH149" s="151"/>
      <c r="AI149" s="180"/>
      <c r="AJ149" s="151"/>
      <c r="AK149" s="151"/>
      <c r="AL149" s="151"/>
      <c r="AM149" s="151"/>
      <c r="AN149" s="151"/>
      <c r="AO149" s="151"/>
      <c r="AR149" s="167"/>
      <c r="AS149" s="161"/>
      <c r="AT149" s="167"/>
      <c r="AU149" s="151"/>
      <c r="AZ149" s="167"/>
      <c r="BB149" s="151"/>
      <c r="BC149" s="151"/>
      <c r="BD149" s="151"/>
      <c r="BE149" s="151"/>
      <c r="BF149" s="151"/>
      <c r="BG149" s="151"/>
      <c r="BH149" s="151"/>
      <c r="BI149" s="180"/>
      <c r="BJ149" s="151"/>
      <c r="BK149" s="151"/>
      <c r="BL149" s="151"/>
      <c r="BM149" s="151"/>
      <c r="BN149" s="151"/>
      <c r="BO149" s="151"/>
      <c r="BR149" s="167"/>
      <c r="BS149" s="161"/>
      <c r="BT149" s="167"/>
      <c r="BU149" s="161"/>
      <c r="BV149" s="167"/>
      <c r="BW149" s="161"/>
      <c r="BX149" s="167"/>
    </row>
    <row r="150" spans="2:76" x14ac:dyDescent="0.25">
      <c r="B150" s="150"/>
      <c r="C150" s="150"/>
      <c r="D150" s="150"/>
      <c r="E150" s="150"/>
      <c r="F150" s="150"/>
      <c r="G150" s="150"/>
      <c r="H150" s="150"/>
      <c r="I150" s="187"/>
      <c r="J150" s="150"/>
      <c r="K150" s="150"/>
      <c r="L150" s="150"/>
      <c r="M150" s="150"/>
      <c r="N150" s="150"/>
      <c r="O150" s="150"/>
      <c r="R150" s="167"/>
      <c r="S150" s="167"/>
      <c r="T150" s="167"/>
      <c r="U150" s="167"/>
      <c r="V150" s="167"/>
      <c r="W150" s="167"/>
      <c r="X150" s="167"/>
      <c r="Y150" s="167"/>
      <c r="Z150" s="167"/>
      <c r="AB150" s="150"/>
      <c r="AC150" s="150"/>
      <c r="AD150" s="150"/>
      <c r="AE150" s="150"/>
      <c r="AF150" s="150"/>
      <c r="AG150" s="150"/>
      <c r="AH150" s="150"/>
      <c r="AI150" s="187"/>
      <c r="AJ150" s="150"/>
      <c r="AK150" s="150"/>
      <c r="AL150" s="150"/>
      <c r="AM150" s="150"/>
      <c r="AN150" s="150"/>
      <c r="AO150" s="150"/>
      <c r="AR150" s="167"/>
      <c r="AS150" s="167"/>
      <c r="AT150" s="167"/>
      <c r="AU150" s="150"/>
      <c r="AZ150" s="167"/>
      <c r="BB150" s="150"/>
      <c r="BC150" s="150"/>
      <c r="BD150" s="150"/>
      <c r="BE150" s="150"/>
      <c r="BF150" s="150"/>
      <c r="BG150" s="150"/>
      <c r="BH150" s="150"/>
      <c r="BI150" s="187"/>
      <c r="BJ150" s="150"/>
      <c r="BK150" s="150"/>
      <c r="BL150" s="150"/>
      <c r="BM150" s="150"/>
      <c r="BN150" s="150"/>
      <c r="BO150" s="150"/>
      <c r="BR150" s="167"/>
      <c r="BS150" s="167"/>
      <c r="BT150" s="167"/>
      <c r="BU150" s="167"/>
      <c r="BV150" s="167"/>
      <c r="BW150" s="167"/>
      <c r="BX150" s="167"/>
    </row>
    <row r="151" spans="2:76" x14ac:dyDescent="0.25">
      <c r="R151" s="167"/>
      <c r="S151" s="161"/>
      <c r="T151" s="167"/>
      <c r="U151" s="161"/>
      <c r="V151" s="167"/>
      <c r="W151" s="161"/>
      <c r="X151" s="167"/>
      <c r="Y151" s="161"/>
      <c r="Z151" s="167"/>
      <c r="AR151" s="167"/>
      <c r="AS151" s="161"/>
      <c r="AT151" s="167"/>
      <c r="AZ151" s="167"/>
      <c r="BR151" s="167"/>
      <c r="BS151" s="161"/>
      <c r="BT151" s="167"/>
      <c r="BU151" s="161"/>
      <c r="BV151" s="167"/>
      <c r="BW151" s="161"/>
      <c r="BX151" s="167"/>
    </row>
    <row r="152" spans="2:76" x14ac:dyDescent="0.25">
      <c r="R152" s="167"/>
      <c r="S152" s="167"/>
      <c r="T152" s="167"/>
      <c r="U152" s="167"/>
      <c r="V152" s="167"/>
      <c r="W152" s="167"/>
      <c r="X152" s="167"/>
      <c r="Y152" s="167"/>
      <c r="Z152" s="167"/>
      <c r="AR152" s="167"/>
      <c r="AS152" s="167"/>
      <c r="AT152" s="167"/>
      <c r="AU152" s="150"/>
      <c r="AZ152" s="167"/>
      <c r="BR152" s="167"/>
      <c r="BS152" s="167"/>
      <c r="BT152" s="167"/>
      <c r="BU152" s="167"/>
      <c r="BV152" s="167"/>
      <c r="BW152" s="167"/>
      <c r="BX152" s="167"/>
    </row>
    <row r="153" spans="2:76" ht="8.1" customHeight="1" x14ac:dyDescent="0.25">
      <c r="R153" s="167"/>
      <c r="S153" s="161"/>
      <c r="T153" s="167"/>
      <c r="U153" s="161"/>
      <c r="V153" s="167"/>
      <c r="W153" s="161"/>
      <c r="X153" s="167"/>
      <c r="Y153" s="161"/>
      <c r="Z153" s="167"/>
      <c r="AR153" s="167"/>
      <c r="AS153" s="161"/>
      <c r="AT153" s="167"/>
      <c r="AZ153" s="167"/>
      <c r="BR153" s="167"/>
      <c r="BS153" s="161"/>
      <c r="BT153" s="167"/>
      <c r="BU153" s="161"/>
      <c r="BV153" s="167"/>
      <c r="BW153" s="161"/>
      <c r="BX153" s="167"/>
    </row>
    <row r="154" spans="2:76" x14ac:dyDescent="0.25">
      <c r="I154" s="110"/>
      <c r="R154" s="167"/>
      <c r="S154" s="167"/>
      <c r="T154" s="167"/>
      <c r="U154" s="167"/>
      <c r="V154" s="167"/>
      <c r="W154" s="167"/>
      <c r="X154" s="167"/>
      <c r="Y154" s="167"/>
      <c r="Z154" s="167"/>
      <c r="AI154" s="110"/>
      <c r="AR154" s="167"/>
      <c r="AS154" s="167"/>
      <c r="AT154" s="167"/>
      <c r="AU154" s="150"/>
      <c r="AZ154" s="167"/>
      <c r="BI154" s="110"/>
      <c r="BR154" s="167"/>
      <c r="BS154" s="167"/>
      <c r="BT154" s="167"/>
      <c r="BU154" s="167"/>
      <c r="BV154" s="167"/>
      <c r="BW154" s="167"/>
      <c r="BX154" s="167"/>
    </row>
    <row r="155" spans="2:76" x14ac:dyDescent="0.25">
      <c r="R155" s="167"/>
      <c r="S155" s="161"/>
      <c r="T155" s="167"/>
      <c r="U155" s="161"/>
      <c r="V155" s="167"/>
      <c r="W155" s="161"/>
      <c r="X155" s="167"/>
      <c r="Y155" s="161"/>
      <c r="Z155" s="167"/>
      <c r="AR155" s="167"/>
      <c r="AS155" s="161"/>
      <c r="AT155" s="167"/>
      <c r="AZ155" s="167"/>
      <c r="BR155" s="167"/>
      <c r="BS155" s="161"/>
      <c r="BT155" s="167"/>
      <c r="BU155" s="161"/>
      <c r="BV155" s="167"/>
      <c r="BW155" s="161"/>
      <c r="BX155" s="167"/>
    </row>
    <row r="156" spans="2:76" x14ac:dyDescent="0.25">
      <c r="R156" s="167"/>
      <c r="S156" s="167"/>
      <c r="T156" s="167"/>
      <c r="U156" s="167"/>
      <c r="V156" s="167"/>
      <c r="W156" s="167"/>
      <c r="X156" s="167"/>
      <c r="Y156" s="167"/>
      <c r="Z156" s="167"/>
      <c r="AR156" s="167"/>
      <c r="AS156" s="167"/>
      <c r="AT156" s="167"/>
      <c r="AU156" s="150"/>
      <c r="AZ156" s="167"/>
      <c r="BR156" s="167"/>
      <c r="BS156" s="167"/>
      <c r="BT156" s="167"/>
      <c r="BU156" s="167"/>
      <c r="BV156" s="167"/>
      <c r="BW156" s="167"/>
      <c r="BX156" s="167"/>
    </row>
    <row r="157" spans="2:76" x14ac:dyDescent="0.25">
      <c r="R157" s="167"/>
      <c r="S157" s="161"/>
      <c r="T157" s="167"/>
      <c r="U157" s="161"/>
      <c r="V157" s="167"/>
      <c r="W157" s="161"/>
      <c r="X157" s="167"/>
      <c r="Y157" s="161"/>
      <c r="Z157" s="167"/>
      <c r="AR157" s="167"/>
      <c r="AS157" s="161"/>
      <c r="AT157" s="167"/>
      <c r="AZ157" s="167"/>
      <c r="BR157" s="167"/>
      <c r="BS157" s="161"/>
      <c r="BT157" s="167"/>
      <c r="BU157" s="161"/>
      <c r="BV157" s="167"/>
      <c r="BW157" s="161"/>
      <c r="BX157" s="167"/>
    </row>
    <row r="158" spans="2:76" x14ac:dyDescent="0.25">
      <c r="R158" s="167"/>
      <c r="S158" s="167"/>
      <c r="T158" s="167"/>
      <c r="U158" s="167"/>
      <c r="V158" s="167"/>
      <c r="W158" s="167"/>
      <c r="X158" s="167"/>
      <c r="Y158" s="167"/>
      <c r="Z158" s="167"/>
      <c r="AR158" s="167"/>
      <c r="AS158" s="167"/>
      <c r="AT158" s="167"/>
      <c r="AU158" s="150"/>
      <c r="AZ158" s="167"/>
      <c r="BR158" s="167"/>
      <c r="BS158" s="167"/>
      <c r="BT158" s="167"/>
      <c r="BU158" s="167"/>
      <c r="BV158" s="167"/>
      <c r="BW158" s="167"/>
      <c r="BX158" s="167"/>
    </row>
    <row r="159" spans="2:76" x14ac:dyDescent="0.25">
      <c r="R159" s="167"/>
      <c r="S159" s="161"/>
      <c r="T159" s="167"/>
      <c r="U159" s="161"/>
      <c r="V159" s="167"/>
      <c r="W159" s="161"/>
      <c r="X159" s="167"/>
      <c r="Y159" s="161"/>
      <c r="Z159" s="167"/>
      <c r="AR159" s="167"/>
      <c r="AS159" s="161"/>
      <c r="AT159" s="167"/>
      <c r="AZ159" s="167"/>
      <c r="BR159" s="167"/>
      <c r="BS159" s="161"/>
      <c r="BT159" s="167"/>
      <c r="BU159" s="161"/>
      <c r="BV159" s="167"/>
      <c r="BW159" s="161"/>
      <c r="BX159" s="167"/>
    </row>
    <row r="160" spans="2:76" x14ac:dyDescent="0.25">
      <c r="R160" s="167"/>
      <c r="S160" s="167"/>
      <c r="T160" s="167"/>
      <c r="U160" s="167"/>
      <c r="V160" s="167"/>
      <c r="W160" s="167"/>
      <c r="X160" s="167"/>
      <c r="Y160" s="167"/>
      <c r="Z160" s="167"/>
      <c r="AR160" s="167"/>
      <c r="AS160" s="167"/>
      <c r="AT160" s="167"/>
      <c r="AU160" s="150"/>
      <c r="AZ160" s="167"/>
      <c r="BR160" s="167"/>
      <c r="BS160" s="167"/>
      <c r="BT160" s="167"/>
      <c r="BU160" s="167"/>
      <c r="BV160" s="167"/>
      <c r="BW160" s="167"/>
      <c r="BX160" s="167"/>
    </row>
    <row r="161" spans="2:76" x14ac:dyDescent="0.25">
      <c r="R161" s="167"/>
      <c r="S161" s="161"/>
      <c r="T161" s="167"/>
      <c r="U161" s="161"/>
      <c r="V161" s="167"/>
      <c r="W161" s="161"/>
      <c r="X161" s="167"/>
      <c r="Y161" s="161"/>
      <c r="Z161" s="167"/>
      <c r="AR161" s="167"/>
      <c r="AS161" s="161"/>
      <c r="AT161" s="167"/>
      <c r="AZ161" s="167"/>
      <c r="BR161" s="167"/>
      <c r="BS161" s="161"/>
      <c r="BT161" s="167"/>
      <c r="BU161" s="161"/>
      <c r="BV161" s="167"/>
      <c r="BW161" s="161"/>
      <c r="BX161" s="167"/>
    </row>
    <row r="162" spans="2:76" ht="8.1" customHeight="1" x14ac:dyDescent="0.25">
      <c r="P162" s="213"/>
      <c r="Q162" s="213"/>
      <c r="R162" s="167"/>
      <c r="S162" s="167"/>
      <c r="T162" s="167"/>
      <c r="U162" s="167"/>
      <c r="V162" s="167"/>
      <c r="W162" s="167"/>
      <c r="X162" s="167"/>
      <c r="Y162" s="167"/>
      <c r="Z162" s="167"/>
      <c r="AP162" s="213"/>
      <c r="AQ162" s="213"/>
      <c r="AR162" s="167"/>
      <c r="AS162" s="167"/>
      <c r="AT162" s="167"/>
      <c r="AU162" s="150"/>
      <c r="AZ162" s="167"/>
      <c r="BP162" s="213"/>
      <c r="BQ162" s="213"/>
      <c r="BR162" s="167"/>
      <c r="BS162" s="167"/>
      <c r="BT162" s="167"/>
      <c r="BU162" s="167"/>
      <c r="BV162" s="167"/>
      <c r="BW162" s="167"/>
      <c r="BX162" s="167"/>
    </row>
    <row r="163" spans="2:76" x14ac:dyDescent="0.25">
      <c r="I163" s="110"/>
      <c r="R163" s="167"/>
      <c r="S163" s="161"/>
      <c r="T163" s="167"/>
      <c r="U163" s="161"/>
      <c r="V163" s="167"/>
      <c r="W163" s="161"/>
      <c r="X163" s="167"/>
      <c r="Y163" s="161"/>
      <c r="Z163" s="167"/>
      <c r="AI163" s="110"/>
      <c r="AR163" s="167"/>
      <c r="AS163" s="161"/>
      <c r="AT163" s="167"/>
      <c r="AZ163" s="167"/>
      <c r="BI163" s="110"/>
      <c r="BR163" s="167"/>
      <c r="BS163" s="161"/>
      <c r="BT163" s="167"/>
      <c r="BU163" s="161"/>
      <c r="BV163" s="167"/>
      <c r="BW163" s="161"/>
      <c r="BX163" s="167"/>
    </row>
    <row r="164" spans="2:76" ht="8.1" customHeight="1" x14ac:dyDescent="0.25">
      <c r="R164" s="167"/>
      <c r="S164" s="167"/>
      <c r="T164" s="167"/>
      <c r="U164" s="167"/>
      <c r="V164" s="167"/>
      <c r="W164" s="167"/>
      <c r="X164" s="167"/>
      <c r="Y164" s="167"/>
      <c r="Z164" s="167"/>
      <c r="AR164" s="167"/>
      <c r="AS164" s="167"/>
      <c r="AT164" s="167"/>
      <c r="AU164" s="150"/>
      <c r="AZ164" s="167"/>
      <c r="BR164" s="167"/>
      <c r="BS164" s="167"/>
      <c r="BT164" s="167"/>
      <c r="BU164" s="167"/>
      <c r="BV164" s="167"/>
      <c r="BW164" s="167"/>
      <c r="BX164" s="167"/>
    </row>
    <row r="165" spans="2:76" x14ac:dyDescent="0.25">
      <c r="I165" s="110"/>
      <c r="R165" s="167"/>
      <c r="S165" s="161"/>
      <c r="T165" s="167"/>
      <c r="U165" s="161"/>
      <c r="V165" s="167"/>
      <c r="W165" s="161"/>
      <c r="X165" s="167"/>
      <c r="Y165" s="161"/>
      <c r="Z165" s="167"/>
      <c r="AI165" s="110"/>
      <c r="AR165" s="167"/>
      <c r="AS165" s="161"/>
      <c r="AT165" s="167"/>
      <c r="AZ165" s="167"/>
      <c r="BI165" s="110"/>
      <c r="BR165" s="167"/>
      <c r="BS165" s="161"/>
      <c r="BT165" s="167"/>
      <c r="BU165" s="161"/>
      <c r="BV165" s="167"/>
      <c r="BW165" s="161"/>
      <c r="BX165" s="167"/>
    </row>
    <row r="166" spans="2:76" x14ac:dyDescent="0.25">
      <c r="R166" s="167"/>
      <c r="S166" s="167"/>
      <c r="T166" s="167"/>
      <c r="U166" s="167"/>
      <c r="V166" s="167"/>
      <c r="W166" s="167"/>
      <c r="X166" s="167"/>
      <c r="Y166" s="167"/>
      <c r="Z166" s="167"/>
      <c r="AR166" s="167"/>
      <c r="AS166" s="167"/>
      <c r="AT166" s="167"/>
      <c r="AU166" s="150"/>
      <c r="AZ166" s="167"/>
      <c r="BR166" s="167"/>
      <c r="BS166" s="167"/>
      <c r="BT166" s="167"/>
      <c r="BU166" s="167"/>
      <c r="BV166" s="167"/>
      <c r="BW166" s="167"/>
      <c r="BX166" s="167"/>
    </row>
    <row r="167" spans="2:76" x14ac:dyDescent="0.25">
      <c r="R167" s="167"/>
      <c r="S167" s="161"/>
      <c r="T167" s="167"/>
      <c r="U167" s="161"/>
      <c r="V167" s="167"/>
      <c r="W167" s="161"/>
      <c r="X167" s="167"/>
      <c r="Y167" s="161"/>
      <c r="Z167" s="167"/>
      <c r="AR167" s="167"/>
      <c r="AS167" s="161"/>
      <c r="AT167" s="167"/>
      <c r="AZ167" s="167"/>
      <c r="BR167" s="167"/>
      <c r="BS167" s="161"/>
      <c r="BT167" s="167"/>
      <c r="BU167" s="161"/>
      <c r="BV167" s="167"/>
      <c r="BW167" s="161"/>
      <c r="BX167" s="167"/>
    </row>
    <row r="168" spans="2:76" ht="8.1" customHeight="1" x14ac:dyDescent="0.25">
      <c r="P168" s="213"/>
      <c r="Q168" s="213"/>
      <c r="R168" s="167"/>
      <c r="S168" s="167"/>
      <c r="T168" s="167"/>
      <c r="U168" s="167"/>
      <c r="V168" s="167"/>
      <c r="W168" s="167"/>
      <c r="X168" s="167"/>
      <c r="Y168" s="167"/>
      <c r="Z168" s="167"/>
      <c r="AP168" s="213"/>
      <c r="AQ168" s="213"/>
      <c r="AR168" s="167"/>
      <c r="AS168" s="167"/>
      <c r="AT168" s="167"/>
      <c r="AU168" s="150"/>
      <c r="AZ168" s="167"/>
      <c r="BP168" s="213"/>
      <c r="BQ168" s="213"/>
      <c r="BR168" s="167"/>
      <c r="BS168" s="167"/>
      <c r="BT168" s="167"/>
      <c r="BU168" s="167"/>
      <c r="BV168" s="167"/>
      <c r="BW168" s="167"/>
      <c r="BX168" s="167"/>
    </row>
    <row r="169" spans="2:76" x14ac:dyDescent="0.25">
      <c r="O169" s="194"/>
      <c r="R169" s="167"/>
      <c r="S169" s="161"/>
      <c r="T169" s="167"/>
      <c r="U169" s="161"/>
      <c r="V169" s="167"/>
      <c r="W169" s="161"/>
      <c r="X169" s="167"/>
      <c r="Y169" s="161"/>
      <c r="Z169" s="167"/>
      <c r="AO169" s="194"/>
      <c r="AR169" s="167"/>
      <c r="AS169" s="161"/>
      <c r="AT169" s="167"/>
      <c r="AZ169" s="167"/>
      <c r="BO169" s="194"/>
      <c r="BR169" s="167"/>
      <c r="BS169" s="161"/>
      <c r="BT169" s="167"/>
      <c r="BU169" s="161"/>
      <c r="BV169" s="167"/>
      <c r="BW169" s="161"/>
      <c r="BX169" s="167"/>
    </row>
    <row r="170" spans="2:76" x14ac:dyDescent="0.25">
      <c r="R170" s="167"/>
      <c r="S170" s="167"/>
      <c r="T170" s="167"/>
      <c r="U170" s="167"/>
      <c r="V170" s="167"/>
      <c r="W170" s="167"/>
      <c r="X170" s="167"/>
      <c r="Y170" s="167"/>
      <c r="Z170" s="167"/>
      <c r="AR170" s="167"/>
      <c r="AS170" s="167"/>
      <c r="AT170" s="167"/>
      <c r="AU170" s="150"/>
      <c r="AZ170" s="167"/>
      <c r="BR170" s="167"/>
      <c r="BS170" s="167"/>
      <c r="BT170" s="167"/>
      <c r="BU170" s="167"/>
      <c r="BV170" s="167"/>
      <c r="BW170" s="167"/>
      <c r="BX170" s="167"/>
    </row>
    <row r="171" spans="2:76" x14ac:dyDescent="0.25">
      <c r="N171" s="215"/>
      <c r="R171" s="167"/>
      <c r="S171" s="161"/>
      <c r="T171" s="167"/>
      <c r="U171" s="161"/>
      <c r="V171" s="167"/>
      <c r="W171" s="161"/>
      <c r="X171" s="167"/>
      <c r="Y171" s="161"/>
      <c r="Z171" s="167"/>
      <c r="AN171" s="215"/>
      <c r="AR171" s="167"/>
      <c r="AS171" s="161"/>
      <c r="AT171" s="167"/>
      <c r="AZ171" s="167"/>
      <c r="BN171" s="215"/>
      <c r="BR171" s="167"/>
      <c r="BS171" s="161"/>
      <c r="BT171" s="167"/>
      <c r="BU171" s="161"/>
      <c r="BV171" s="167"/>
      <c r="BW171" s="161"/>
      <c r="BX171" s="167"/>
    </row>
    <row r="172" spans="2:76" x14ac:dyDescent="0.25">
      <c r="M172" s="215"/>
      <c r="O172" s="213"/>
      <c r="R172" s="167"/>
      <c r="S172" s="167"/>
      <c r="T172" s="167"/>
      <c r="U172" s="167"/>
      <c r="V172" s="167"/>
      <c r="W172" s="167"/>
      <c r="X172" s="167"/>
      <c r="Y172" s="167"/>
      <c r="Z172" s="167"/>
      <c r="AM172" s="215"/>
      <c r="AO172" s="213"/>
      <c r="AR172" s="167"/>
      <c r="AS172" s="167"/>
      <c r="AT172" s="167"/>
      <c r="AU172" s="150"/>
      <c r="AZ172" s="167"/>
      <c r="BM172" s="215"/>
      <c r="BO172" s="213"/>
      <c r="BR172" s="167"/>
      <c r="BS172" s="167"/>
      <c r="BT172" s="167"/>
      <c r="BU172" s="167"/>
      <c r="BV172" s="167"/>
      <c r="BW172" s="167"/>
      <c r="BX172" s="167"/>
    </row>
    <row r="173" spans="2:76" x14ac:dyDescent="0.25">
      <c r="L173" s="215"/>
      <c r="N173" s="213"/>
      <c r="R173" s="167"/>
      <c r="S173" s="161"/>
      <c r="T173" s="167"/>
      <c r="U173" s="161"/>
      <c r="V173" s="167"/>
      <c r="W173" s="161"/>
      <c r="X173" s="167"/>
      <c r="Y173" s="161"/>
      <c r="Z173" s="167"/>
      <c r="AL173" s="215"/>
      <c r="AN173" s="213"/>
      <c r="AR173" s="167"/>
      <c r="AS173" s="161"/>
      <c r="AT173" s="167"/>
      <c r="AZ173" s="167"/>
      <c r="BL173" s="215"/>
      <c r="BN173" s="213"/>
      <c r="BR173" s="167"/>
      <c r="BS173" s="161"/>
      <c r="BT173" s="167"/>
      <c r="BU173" s="161"/>
      <c r="BV173" s="167"/>
      <c r="BW173" s="161"/>
      <c r="BX173" s="167"/>
    </row>
    <row r="174" spans="2:76" x14ac:dyDescent="0.25">
      <c r="K174" s="215"/>
      <c r="M174" s="212"/>
      <c r="R174" s="167"/>
      <c r="S174" s="167"/>
      <c r="T174" s="167"/>
      <c r="U174" s="167"/>
      <c r="V174" s="167"/>
      <c r="W174" s="167"/>
      <c r="X174" s="167"/>
      <c r="Y174" s="167"/>
      <c r="Z174" s="167"/>
      <c r="AK174" s="215"/>
      <c r="AM174" s="212"/>
      <c r="AR174" s="167"/>
      <c r="AS174" s="167"/>
      <c r="AT174" s="167"/>
      <c r="AU174" s="150"/>
      <c r="AZ174" s="167"/>
      <c r="BK174" s="215"/>
      <c r="BM174" s="212"/>
      <c r="BR174" s="167"/>
      <c r="BS174" s="167"/>
      <c r="BT174" s="167"/>
      <c r="BU174" s="167"/>
      <c r="BV174" s="167"/>
      <c r="BW174" s="167"/>
      <c r="BX174" s="167"/>
    </row>
    <row r="175" spans="2:76" s="212" customFormat="1" x14ac:dyDescent="0.25">
      <c r="B175" s="151"/>
      <c r="C175" s="151"/>
      <c r="D175" s="151"/>
      <c r="E175" s="151"/>
      <c r="F175" s="151"/>
      <c r="G175" s="151"/>
      <c r="H175" s="151"/>
      <c r="I175" s="180"/>
      <c r="J175" s="215"/>
      <c r="K175" s="151"/>
      <c r="M175" s="151"/>
      <c r="O175" s="151"/>
      <c r="R175" s="167"/>
      <c r="S175" s="161"/>
      <c r="T175" s="167"/>
      <c r="U175" s="161"/>
      <c r="V175" s="167"/>
      <c r="W175" s="161"/>
      <c r="X175" s="167"/>
      <c r="Y175" s="161"/>
      <c r="Z175" s="167"/>
      <c r="AB175" s="151"/>
      <c r="AC175" s="151"/>
      <c r="AD175" s="151"/>
      <c r="AE175" s="151"/>
      <c r="AF175" s="151"/>
      <c r="AG175" s="151"/>
      <c r="AH175" s="151"/>
      <c r="AI175" s="180"/>
      <c r="AJ175" s="215"/>
      <c r="AK175" s="151"/>
      <c r="AM175" s="151"/>
      <c r="AO175" s="151"/>
      <c r="AR175" s="167"/>
      <c r="AS175" s="161"/>
      <c r="AT175" s="167"/>
      <c r="AU175" s="151"/>
      <c r="AZ175" s="167"/>
      <c r="BB175" s="151"/>
      <c r="BC175" s="151"/>
      <c r="BD175" s="151"/>
      <c r="BE175" s="151"/>
      <c r="BF175" s="151"/>
      <c r="BG175" s="151"/>
      <c r="BH175" s="151"/>
      <c r="BI175" s="180"/>
      <c r="BJ175" s="215"/>
      <c r="BK175" s="151"/>
      <c r="BM175" s="151"/>
      <c r="BO175" s="151"/>
      <c r="BR175" s="167"/>
      <c r="BS175" s="161"/>
      <c r="BT175" s="167"/>
      <c r="BU175" s="161"/>
      <c r="BV175" s="167"/>
      <c r="BW175" s="161"/>
      <c r="BX175" s="167"/>
    </row>
    <row r="176" spans="2:76" x14ac:dyDescent="0.25">
      <c r="B176" s="212"/>
      <c r="C176" s="212"/>
      <c r="D176" s="212"/>
      <c r="E176" s="212"/>
      <c r="F176" s="212"/>
      <c r="G176" s="212"/>
      <c r="H176" s="212"/>
      <c r="J176" s="212"/>
      <c r="K176" s="212"/>
      <c r="L176" s="212"/>
      <c r="M176" s="212"/>
      <c r="N176" s="212"/>
      <c r="O176" s="212"/>
      <c r="R176" s="167"/>
      <c r="S176" s="167"/>
      <c r="T176" s="167"/>
      <c r="U176" s="167"/>
      <c r="V176" s="167"/>
      <c r="W176" s="167"/>
      <c r="X176" s="167"/>
      <c r="Y176" s="167"/>
      <c r="Z176" s="167"/>
      <c r="AB176" s="212"/>
      <c r="AC176" s="212"/>
      <c r="AD176" s="212"/>
      <c r="AE176" s="212"/>
      <c r="AF176" s="212"/>
      <c r="AG176" s="212"/>
      <c r="AH176" s="212"/>
      <c r="AJ176" s="212"/>
      <c r="AK176" s="212"/>
      <c r="AL176" s="212"/>
      <c r="AM176" s="212"/>
      <c r="AN176" s="212"/>
      <c r="AO176" s="212"/>
      <c r="AR176" s="167"/>
      <c r="AS176" s="167"/>
      <c r="AT176" s="167"/>
      <c r="AU176" s="150"/>
      <c r="AZ176" s="167"/>
      <c r="BB176" s="212"/>
      <c r="BC176" s="212"/>
      <c r="BD176" s="212"/>
      <c r="BE176" s="212"/>
      <c r="BF176" s="212"/>
      <c r="BG176" s="212"/>
      <c r="BH176" s="212"/>
      <c r="BJ176" s="212"/>
      <c r="BK176" s="212"/>
      <c r="BL176" s="212"/>
      <c r="BM176" s="212"/>
      <c r="BN176" s="212"/>
      <c r="BO176" s="212"/>
      <c r="BR176" s="167"/>
      <c r="BS176" s="167"/>
      <c r="BT176" s="167"/>
      <c r="BU176" s="167"/>
      <c r="BV176" s="167"/>
      <c r="BW176" s="167"/>
      <c r="BX176" s="167"/>
    </row>
    <row r="177" spans="2:76" x14ac:dyDescent="0.25">
      <c r="R177" s="167"/>
      <c r="S177" s="161"/>
      <c r="T177" s="167"/>
      <c r="U177" s="161"/>
      <c r="V177" s="167"/>
      <c r="W177" s="161"/>
      <c r="X177" s="167"/>
      <c r="Y177" s="161"/>
      <c r="Z177" s="167"/>
      <c r="AR177" s="167"/>
      <c r="AS177" s="161"/>
      <c r="AT177" s="167"/>
      <c r="AZ177" s="167"/>
      <c r="BR177" s="167"/>
      <c r="BS177" s="161"/>
      <c r="BT177" s="167"/>
      <c r="BU177" s="161"/>
      <c r="BV177" s="167"/>
      <c r="BW177" s="161"/>
      <c r="BX177" s="167"/>
    </row>
    <row r="178" spans="2:76" x14ac:dyDescent="0.25">
      <c r="R178" s="167"/>
      <c r="S178" s="167"/>
      <c r="T178" s="167"/>
      <c r="U178" s="167"/>
      <c r="V178" s="167"/>
      <c r="W178" s="167"/>
      <c r="X178" s="167"/>
      <c r="Y178" s="167"/>
      <c r="Z178" s="167"/>
      <c r="AR178" s="167"/>
      <c r="AS178" s="167"/>
      <c r="AT178" s="167"/>
      <c r="AU178" s="150"/>
      <c r="AZ178" s="167"/>
      <c r="BR178" s="167"/>
      <c r="BS178" s="167"/>
      <c r="BT178" s="167"/>
      <c r="BU178" s="167"/>
      <c r="BV178" s="167"/>
      <c r="BW178" s="167"/>
      <c r="BX178" s="167"/>
    </row>
    <row r="179" spans="2:76" x14ac:dyDescent="0.25">
      <c r="R179" s="167"/>
      <c r="S179" s="161"/>
      <c r="T179" s="167"/>
      <c r="U179" s="161"/>
      <c r="V179" s="167"/>
      <c r="W179" s="161"/>
      <c r="X179" s="167"/>
      <c r="Y179" s="161"/>
      <c r="Z179" s="167"/>
      <c r="AR179" s="167"/>
      <c r="AS179" s="161"/>
      <c r="AT179" s="167"/>
      <c r="AZ179" s="167"/>
      <c r="BR179" s="167"/>
      <c r="BS179" s="161"/>
      <c r="BT179" s="167"/>
      <c r="BU179" s="161"/>
      <c r="BV179" s="167"/>
      <c r="BW179" s="161"/>
      <c r="BX179" s="167"/>
    </row>
    <row r="180" spans="2:76" s="213" customFormat="1" x14ac:dyDescent="0.25">
      <c r="B180" s="151"/>
      <c r="C180" s="151"/>
      <c r="D180" s="151"/>
      <c r="E180" s="151"/>
      <c r="F180" s="151"/>
      <c r="G180" s="151"/>
      <c r="H180" s="151"/>
      <c r="I180" s="180"/>
      <c r="J180" s="151"/>
      <c r="K180" s="151"/>
      <c r="L180" s="151"/>
      <c r="M180" s="151"/>
      <c r="N180" s="151"/>
      <c r="O180" s="151"/>
      <c r="R180" s="167"/>
      <c r="S180" s="167"/>
      <c r="T180" s="167"/>
      <c r="U180" s="167"/>
      <c r="V180" s="167"/>
      <c r="W180" s="167"/>
      <c r="X180" s="167"/>
      <c r="Y180" s="167"/>
      <c r="Z180" s="167"/>
      <c r="AB180" s="151"/>
      <c r="AC180" s="151"/>
      <c r="AD180" s="151"/>
      <c r="AE180" s="151"/>
      <c r="AF180" s="151"/>
      <c r="AG180" s="151"/>
      <c r="AH180" s="151"/>
      <c r="AI180" s="180"/>
      <c r="AJ180" s="151"/>
      <c r="AK180" s="151"/>
      <c r="AL180" s="151"/>
      <c r="AM180" s="151"/>
      <c r="AN180" s="151"/>
      <c r="AO180" s="151"/>
      <c r="AR180" s="167"/>
      <c r="AS180" s="167"/>
      <c r="AT180" s="167"/>
      <c r="AU180" s="150"/>
      <c r="AZ180" s="167"/>
      <c r="BB180" s="151"/>
      <c r="BC180" s="151"/>
      <c r="BD180" s="151"/>
      <c r="BE180" s="151"/>
      <c r="BF180" s="151"/>
      <c r="BG180" s="151"/>
      <c r="BH180" s="151"/>
      <c r="BI180" s="180"/>
      <c r="BJ180" s="151"/>
      <c r="BK180" s="151"/>
      <c r="BL180" s="151"/>
      <c r="BM180" s="151"/>
      <c r="BN180" s="151"/>
      <c r="BO180" s="151"/>
      <c r="BR180" s="167"/>
      <c r="BS180" s="167"/>
      <c r="BT180" s="167"/>
      <c r="BU180" s="167"/>
      <c r="BV180" s="167"/>
      <c r="BW180" s="167"/>
      <c r="BX180" s="167"/>
    </row>
    <row r="181" spans="2:76" x14ac:dyDescent="0.25">
      <c r="B181" s="213"/>
      <c r="C181" s="213"/>
      <c r="D181" s="213"/>
      <c r="E181" s="213"/>
      <c r="F181" s="213"/>
      <c r="G181" s="213"/>
      <c r="H181" s="213"/>
      <c r="J181" s="213"/>
      <c r="K181" s="213"/>
      <c r="L181" s="213"/>
      <c r="M181" s="213"/>
      <c r="N181" s="213"/>
      <c r="O181" s="213"/>
      <c r="R181" s="167"/>
      <c r="S181" s="161"/>
      <c r="T181" s="167"/>
      <c r="U181" s="161"/>
      <c r="V181" s="167"/>
      <c r="W181" s="161"/>
      <c r="X181" s="167"/>
      <c r="Y181" s="161"/>
      <c r="Z181" s="167"/>
      <c r="AB181" s="213"/>
      <c r="AC181" s="213"/>
      <c r="AD181" s="213"/>
      <c r="AE181" s="213"/>
      <c r="AF181" s="213"/>
      <c r="AG181" s="213"/>
      <c r="AH181" s="213"/>
      <c r="AJ181" s="213"/>
      <c r="AK181" s="213"/>
      <c r="AL181" s="213"/>
      <c r="AM181" s="213"/>
      <c r="AN181" s="213"/>
      <c r="AO181" s="213"/>
      <c r="AR181" s="167"/>
      <c r="AS181" s="161"/>
      <c r="AT181" s="167"/>
      <c r="AZ181" s="167"/>
      <c r="BB181" s="213"/>
      <c r="BC181" s="213"/>
      <c r="BD181" s="213"/>
      <c r="BE181" s="213"/>
      <c r="BF181" s="213"/>
      <c r="BG181" s="213"/>
      <c r="BH181" s="213"/>
      <c r="BJ181" s="213"/>
      <c r="BK181" s="213"/>
      <c r="BL181" s="213"/>
      <c r="BM181" s="213"/>
      <c r="BN181" s="213"/>
      <c r="BO181" s="213"/>
      <c r="BR181" s="167"/>
      <c r="BS181" s="161"/>
      <c r="BT181" s="167"/>
      <c r="BU181" s="161"/>
      <c r="BV181" s="167"/>
      <c r="BW181" s="161"/>
      <c r="BX181" s="167"/>
    </row>
    <row r="182" spans="2:76" x14ac:dyDescent="0.25">
      <c r="R182" s="167"/>
      <c r="S182" s="167"/>
      <c r="T182" s="167"/>
      <c r="U182" s="167"/>
      <c r="V182" s="167"/>
      <c r="W182" s="167"/>
      <c r="X182" s="167"/>
      <c r="Y182" s="167"/>
      <c r="Z182" s="167"/>
      <c r="AR182" s="167"/>
      <c r="AS182" s="167"/>
      <c r="AT182" s="167"/>
      <c r="AU182" s="150"/>
      <c r="AZ182" s="167"/>
      <c r="BR182" s="167"/>
      <c r="BS182" s="167"/>
      <c r="BT182" s="167"/>
      <c r="BU182" s="167"/>
      <c r="BV182" s="167"/>
      <c r="BW182" s="167"/>
      <c r="BX182" s="167"/>
    </row>
    <row r="183" spans="2:76" x14ac:dyDescent="0.25">
      <c r="R183" s="167"/>
      <c r="S183" s="161"/>
      <c r="T183" s="167"/>
      <c r="U183" s="161"/>
      <c r="V183" s="167"/>
      <c r="W183" s="161"/>
      <c r="X183" s="167"/>
      <c r="Y183" s="161"/>
      <c r="Z183" s="167"/>
      <c r="AR183" s="167"/>
      <c r="AS183" s="161"/>
      <c r="AT183" s="167"/>
      <c r="AZ183" s="167"/>
      <c r="BR183" s="167"/>
      <c r="BS183" s="161"/>
      <c r="BT183" s="167"/>
      <c r="BU183" s="161"/>
      <c r="BV183" s="167"/>
      <c r="BW183" s="161"/>
      <c r="BX183" s="167"/>
    </row>
    <row r="184" spans="2:76" x14ac:dyDescent="0.25">
      <c r="R184" s="167"/>
      <c r="S184" s="167"/>
      <c r="T184" s="167"/>
      <c r="U184" s="167"/>
      <c r="V184" s="167"/>
      <c r="W184" s="167"/>
      <c r="X184" s="167"/>
      <c r="Y184" s="167"/>
      <c r="Z184" s="167"/>
      <c r="AR184" s="167"/>
      <c r="AS184" s="167"/>
      <c r="AT184" s="167"/>
      <c r="AU184" s="150"/>
      <c r="AZ184" s="167"/>
      <c r="BR184" s="167"/>
      <c r="BS184" s="167"/>
      <c r="BT184" s="167"/>
      <c r="BU184" s="167"/>
      <c r="BV184" s="167"/>
      <c r="BW184" s="167"/>
      <c r="BX184" s="167"/>
    </row>
    <row r="185" spans="2:76" x14ac:dyDescent="0.25">
      <c r="R185" s="167"/>
      <c r="S185" s="161"/>
      <c r="T185" s="167"/>
      <c r="U185" s="161"/>
      <c r="V185" s="167"/>
      <c r="W185" s="161"/>
      <c r="X185" s="167"/>
      <c r="Y185" s="161"/>
      <c r="Z185" s="167"/>
      <c r="AR185" s="167"/>
      <c r="AS185" s="161"/>
      <c r="AT185" s="167"/>
      <c r="AZ185" s="167"/>
      <c r="BR185" s="167"/>
      <c r="BS185" s="161"/>
      <c r="BT185" s="167"/>
      <c r="BU185" s="161"/>
      <c r="BV185" s="167"/>
      <c r="BW185" s="161"/>
      <c r="BX185" s="167"/>
    </row>
    <row r="186" spans="2:76" x14ac:dyDescent="0.25">
      <c r="R186" s="167"/>
      <c r="S186" s="167"/>
      <c r="T186" s="167"/>
      <c r="U186" s="167"/>
      <c r="V186" s="167"/>
      <c r="W186" s="167"/>
      <c r="X186" s="167"/>
      <c r="Y186" s="167"/>
      <c r="Z186" s="167"/>
      <c r="AR186" s="167"/>
      <c r="AS186" s="167"/>
      <c r="AT186" s="167"/>
      <c r="AU186" s="150"/>
      <c r="AZ186" s="167"/>
      <c r="BR186" s="167"/>
      <c r="BS186" s="167"/>
      <c r="BT186" s="167"/>
      <c r="BU186" s="167"/>
      <c r="BV186" s="167"/>
      <c r="BW186" s="167"/>
      <c r="BX186" s="167"/>
    </row>
    <row r="187" spans="2:76" x14ac:dyDescent="0.25">
      <c r="R187" s="167"/>
      <c r="S187" s="161"/>
      <c r="T187" s="167"/>
      <c r="U187" s="161"/>
      <c r="V187" s="167"/>
      <c r="W187" s="161"/>
      <c r="X187" s="167"/>
      <c r="Y187" s="161"/>
      <c r="Z187" s="167"/>
      <c r="AR187" s="167"/>
      <c r="AS187" s="161"/>
      <c r="AT187" s="167"/>
      <c r="AZ187" s="167"/>
      <c r="BR187" s="167"/>
      <c r="BS187" s="161"/>
      <c r="BT187" s="167"/>
      <c r="BU187" s="161"/>
      <c r="BV187" s="167"/>
      <c r="BW187" s="161"/>
      <c r="BX187" s="167"/>
    </row>
    <row r="188" spans="2:76" x14ac:dyDescent="0.25">
      <c r="R188" s="167"/>
      <c r="S188" s="167"/>
      <c r="T188" s="167"/>
      <c r="U188" s="167"/>
      <c r="V188" s="167"/>
      <c r="W188" s="167"/>
      <c r="X188" s="167"/>
      <c r="Y188" s="167"/>
      <c r="Z188" s="167"/>
      <c r="AR188" s="167"/>
      <c r="AS188" s="167"/>
      <c r="AT188" s="167"/>
      <c r="AU188" s="150"/>
      <c r="AZ188" s="167"/>
      <c r="BR188" s="167"/>
      <c r="BS188" s="167"/>
      <c r="BT188" s="167"/>
      <c r="BU188" s="167"/>
      <c r="BV188" s="167"/>
      <c r="BW188" s="167"/>
      <c r="BX188" s="167"/>
    </row>
    <row r="189" spans="2:76" x14ac:dyDescent="0.25">
      <c r="R189" s="167"/>
      <c r="S189" s="161"/>
      <c r="T189" s="167"/>
      <c r="U189" s="161"/>
      <c r="V189" s="167"/>
      <c r="W189" s="161"/>
      <c r="X189" s="167"/>
      <c r="Y189" s="161"/>
      <c r="Z189" s="167"/>
      <c r="AR189" s="167"/>
      <c r="AS189" s="161"/>
      <c r="AT189" s="167"/>
      <c r="AZ189" s="167"/>
      <c r="BR189" s="167"/>
      <c r="BS189" s="161"/>
      <c r="BT189" s="167"/>
      <c r="BU189" s="161"/>
      <c r="BV189" s="167"/>
      <c r="BW189" s="161"/>
      <c r="BX189" s="167"/>
    </row>
    <row r="190" spans="2:76" x14ac:dyDescent="0.25">
      <c r="R190" s="167"/>
      <c r="S190" s="167"/>
      <c r="T190" s="167"/>
      <c r="U190" s="167"/>
      <c r="V190" s="167"/>
      <c r="W190" s="167"/>
      <c r="X190" s="167"/>
      <c r="Y190" s="167"/>
      <c r="Z190" s="167"/>
      <c r="AR190" s="167"/>
      <c r="AS190" s="167"/>
      <c r="AT190" s="167"/>
      <c r="AU190" s="150"/>
      <c r="AZ190" s="167"/>
      <c r="BR190" s="167"/>
      <c r="BS190" s="167"/>
      <c r="BT190" s="167"/>
      <c r="BU190" s="167"/>
      <c r="BV190" s="167"/>
      <c r="BW190" s="167"/>
      <c r="BX190" s="167"/>
    </row>
    <row r="191" spans="2:76" x14ac:dyDescent="0.25">
      <c r="R191" s="167"/>
      <c r="S191" s="161"/>
      <c r="T191" s="167"/>
      <c r="U191" s="161"/>
      <c r="V191" s="167"/>
      <c r="W191" s="161"/>
      <c r="X191" s="167"/>
      <c r="Y191" s="161"/>
      <c r="Z191" s="167"/>
      <c r="AR191" s="167"/>
      <c r="AS191" s="161"/>
      <c r="AT191" s="167"/>
      <c r="AZ191" s="167"/>
      <c r="BR191" s="167"/>
      <c r="BS191" s="161"/>
      <c r="BT191" s="167"/>
      <c r="BU191" s="161"/>
      <c r="BV191" s="167"/>
      <c r="BW191" s="161"/>
      <c r="BX191" s="167"/>
    </row>
    <row r="192" spans="2:76" x14ac:dyDescent="0.25">
      <c r="R192" s="167"/>
      <c r="S192" s="167"/>
      <c r="T192" s="167"/>
      <c r="U192" s="167"/>
      <c r="V192" s="167"/>
      <c r="W192" s="167"/>
      <c r="X192" s="167"/>
      <c r="Y192" s="167"/>
      <c r="Z192" s="167"/>
      <c r="AR192" s="167"/>
      <c r="AS192" s="167"/>
      <c r="AT192" s="167"/>
      <c r="AU192" s="150"/>
      <c r="AZ192" s="167"/>
      <c r="BR192" s="167"/>
      <c r="BS192" s="167"/>
      <c r="BT192" s="167"/>
      <c r="BU192" s="167"/>
      <c r="BV192" s="167"/>
      <c r="BW192" s="167"/>
      <c r="BX192" s="167"/>
    </row>
    <row r="193" spans="18:76" x14ac:dyDescent="0.25">
      <c r="R193" s="167"/>
      <c r="S193" s="161"/>
      <c r="T193" s="167"/>
      <c r="U193" s="161"/>
      <c r="V193" s="167"/>
      <c r="W193" s="161"/>
      <c r="X193" s="167"/>
      <c r="Y193" s="161"/>
      <c r="Z193" s="167"/>
      <c r="AR193" s="167"/>
      <c r="AS193" s="161"/>
      <c r="AT193" s="167"/>
      <c r="AZ193" s="167"/>
      <c r="BR193" s="167"/>
      <c r="BS193" s="161"/>
      <c r="BT193" s="167"/>
      <c r="BU193" s="161"/>
      <c r="BV193" s="167"/>
      <c r="BW193" s="161"/>
      <c r="BX193" s="167"/>
    </row>
    <row r="194" spans="18:76" x14ac:dyDescent="0.25">
      <c r="R194" s="167"/>
      <c r="S194" s="167"/>
      <c r="T194" s="167"/>
      <c r="U194" s="167"/>
      <c r="V194" s="167"/>
      <c r="W194" s="167"/>
      <c r="X194" s="167"/>
      <c r="Y194" s="167"/>
      <c r="Z194" s="167"/>
      <c r="AR194" s="167"/>
      <c r="AS194" s="167"/>
      <c r="AT194" s="167"/>
      <c r="AU194" s="150"/>
      <c r="AZ194" s="167"/>
      <c r="BR194" s="167"/>
      <c r="BS194" s="167"/>
      <c r="BT194" s="167"/>
      <c r="BU194" s="167"/>
      <c r="BV194" s="167"/>
      <c r="BW194" s="167"/>
      <c r="BX194" s="167"/>
    </row>
    <row r="195" spans="18:76" x14ac:dyDescent="0.25">
      <c r="R195" s="167"/>
      <c r="S195" s="161"/>
      <c r="T195" s="167"/>
      <c r="U195" s="161"/>
      <c r="V195" s="167"/>
      <c r="W195" s="161"/>
      <c r="X195" s="167"/>
      <c r="Y195" s="161"/>
      <c r="Z195" s="167"/>
      <c r="AR195" s="167"/>
      <c r="AS195" s="161"/>
      <c r="AT195" s="167"/>
      <c r="AZ195" s="167"/>
      <c r="BR195" s="167"/>
      <c r="BS195" s="161"/>
      <c r="BT195" s="167"/>
      <c r="BU195" s="161"/>
      <c r="BV195" s="167"/>
      <c r="BW195" s="161"/>
      <c r="BX195" s="167"/>
    </row>
    <row r="196" spans="18:76" x14ac:dyDescent="0.25">
      <c r="R196" s="167"/>
      <c r="S196" s="167"/>
      <c r="T196" s="167"/>
      <c r="U196" s="167"/>
      <c r="V196" s="167"/>
      <c r="W196" s="167"/>
      <c r="X196" s="167"/>
      <c r="Y196" s="167"/>
      <c r="Z196" s="167"/>
      <c r="AR196" s="167"/>
      <c r="AS196" s="167"/>
      <c r="AT196" s="167"/>
      <c r="AU196" s="150"/>
      <c r="AZ196" s="167"/>
      <c r="BR196" s="167"/>
      <c r="BS196" s="167"/>
      <c r="BT196" s="167"/>
      <c r="BU196" s="167"/>
      <c r="BV196" s="167"/>
      <c r="BW196" s="167"/>
      <c r="BX196" s="167"/>
    </row>
    <row r="197" spans="18:76" x14ac:dyDescent="0.25">
      <c r="R197" s="167"/>
      <c r="S197" s="161"/>
      <c r="T197" s="167"/>
      <c r="U197" s="161"/>
      <c r="V197" s="167"/>
      <c r="W197" s="161"/>
      <c r="X197" s="167"/>
      <c r="Y197" s="161"/>
      <c r="Z197" s="167"/>
      <c r="AR197" s="167"/>
      <c r="AS197" s="161"/>
      <c r="AT197" s="167"/>
      <c r="AZ197" s="167"/>
      <c r="BR197" s="167"/>
      <c r="BS197" s="161"/>
      <c r="BT197" s="167"/>
      <c r="BU197" s="161"/>
      <c r="BV197" s="167"/>
      <c r="BW197" s="161"/>
      <c r="BX197" s="167"/>
    </row>
    <row r="198" spans="18:76" x14ac:dyDescent="0.25">
      <c r="R198" s="167"/>
      <c r="S198" s="167"/>
      <c r="T198" s="167"/>
      <c r="U198" s="167"/>
      <c r="V198" s="167"/>
      <c r="W198" s="167"/>
      <c r="X198" s="167"/>
      <c r="Y198" s="167"/>
      <c r="Z198" s="167"/>
      <c r="AR198" s="167"/>
      <c r="AS198" s="167"/>
      <c r="AT198" s="167"/>
      <c r="AU198" s="150"/>
      <c r="AZ198" s="167"/>
      <c r="BR198" s="167"/>
      <c r="BS198" s="167"/>
      <c r="BT198" s="167"/>
      <c r="BU198" s="167"/>
      <c r="BV198" s="167"/>
      <c r="BW198" s="167"/>
      <c r="BX198" s="167"/>
    </row>
    <row r="199" spans="18:76" x14ac:dyDescent="0.25">
      <c r="R199" s="167"/>
      <c r="S199" s="161"/>
      <c r="T199" s="167"/>
      <c r="U199" s="161"/>
      <c r="V199" s="167"/>
      <c r="W199" s="161"/>
      <c r="X199" s="167"/>
      <c r="Y199" s="161"/>
      <c r="Z199" s="167"/>
      <c r="AR199" s="167"/>
      <c r="AS199" s="161"/>
      <c r="AT199" s="167"/>
      <c r="AZ199" s="167"/>
      <c r="BR199" s="167"/>
      <c r="BS199" s="161"/>
      <c r="BT199" s="167"/>
      <c r="BU199" s="161"/>
      <c r="BV199" s="167"/>
      <c r="BW199" s="161"/>
      <c r="BX199" s="167"/>
    </row>
    <row r="200" spans="18:76" x14ac:dyDescent="0.25">
      <c r="R200" s="167"/>
      <c r="S200" s="167"/>
      <c r="T200" s="167"/>
      <c r="U200" s="167"/>
      <c r="V200" s="167"/>
      <c r="W200" s="167"/>
      <c r="X200" s="167"/>
      <c r="Y200" s="167"/>
      <c r="Z200" s="167"/>
      <c r="AR200" s="167"/>
      <c r="AS200" s="167"/>
      <c r="AT200" s="167"/>
      <c r="AU200" s="150"/>
      <c r="AZ200" s="167"/>
      <c r="BR200" s="167"/>
      <c r="BS200" s="167"/>
      <c r="BT200" s="167"/>
      <c r="BU200" s="167"/>
      <c r="BV200" s="167"/>
      <c r="BW200" s="167"/>
      <c r="BX200" s="167"/>
    </row>
    <row r="201" spans="18:76" x14ac:dyDescent="0.25">
      <c r="R201" s="167"/>
      <c r="S201" s="161"/>
      <c r="T201" s="167"/>
      <c r="U201" s="161"/>
      <c r="V201" s="167"/>
      <c r="W201" s="161"/>
      <c r="X201" s="167"/>
      <c r="Y201" s="161"/>
      <c r="Z201" s="167"/>
      <c r="AR201" s="167"/>
      <c r="AS201" s="161"/>
      <c r="AT201" s="167"/>
      <c r="AZ201" s="167"/>
      <c r="BR201" s="167"/>
      <c r="BS201" s="161"/>
      <c r="BT201" s="167"/>
      <c r="BU201" s="161"/>
      <c r="BV201" s="167"/>
      <c r="BW201" s="161"/>
      <c r="BX201" s="167"/>
    </row>
    <row r="202" spans="18:76" x14ac:dyDescent="0.25">
      <c r="R202" s="167"/>
      <c r="S202" s="167"/>
      <c r="T202" s="167"/>
      <c r="U202" s="167"/>
      <c r="V202" s="167"/>
      <c r="W202" s="167"/>
      <c r="X202" s="167"/>
      <c r="Y202" s="167"/>
      <c r="Z202" s="167"/>
      <c r="AR202" s="167"/>
      <c r="AS202" s="167"/>
      <c r="AT202" s="167"/>
      <c r="AU202" s="150"/>
      <c r="AZ202" s="167"/>
      <c r="BR202" s="167"/>
      <c r="BS202" s="167"/>
      <c r="BT202" s="167"/>
      <c r="BU202" s="167"/>
      <c r="BV202" s="167"/>
      <c r="BW202" s="167"/>
      <c r="BX202" s="167"/>
    </row>
    <row r="203" spans="18:76" x14ac:dyDescent="0.25">
      <c r="R203" s="167"/>
      <c r="S203" s="161"/>
      <c r="T203" s="167"/>
      <c r="U203" s="161"/>
      <c r="V203" s="167"/>
      <c r="W203" s="161"/>
      <c r="X203" s="167"/>
      <c r="Y203" s="161"/>
      <c r="Z203" s="167"/>
      <c r="AR203" s="167"/>
      <c r="AS203" s="161"/>
      <c r="AT203" s="167"/>
      <c r="AZ203" s="167"/>
      <c r="BR203" s="167"/>
      <c r="BS203" s="161"/>
      <c r="BT203" s="167"/>
      <c r="BU203" s="161"/>
      <c r="BV203" s="167"/>
      <c r="BW203" s="161"/>
      <c r="BX203" s="167"/>
    </row>
    <row r="204" spans="18:76" x14ac:dyDescent="0.25">
      <c r="R204" s="167"/>
      <c r="S204" s="167"/>
      <c r="T204" s="167"/>
      <c r="U204" s="167"/>
      <c r="V204" s="167"/>
      <c r="W204" s="167"/>
      <c r="X204" s="167"/>
      <c r="Y204" s="167"/>
      <c r="Z204" s="167"/>
      <c r="AR204" s="167"/>
      <c r="AS204" s="167"/>
      <c r="AT204" s="167"/>
      <c r="AU204" s="150"/>
      <c r="AZ204" s="167"/>
      <c r="BR204" s="167"/>
      <c r="BS204" s="167"/>
      <c r="BT204" s="167"/>
      <c r="BU204" s="167"/>
      <c r="BV204" s="167"/>
      <c r="BW204" s="167"/>
      <c r="BX204" s="167"/>
    </row>
    <row r="205" spans="18:76" x14ac:dyDescent="0.25">
      <c r="R205" s="167"/>
      <c r="S205" s="161"/>
      <c r="T205" s="167"/>
      <c r="U205" s="161"/>
      <c r="V205" s="167"/>
      <c r="W205" s="161"/>
      <c r="X205" s="167"/>
      <c r="Y205" s="161"/>
      <c r="Z205" s="167"/>
      <c r="AR205" s="167"/>
      <c r="AS205" s="161"/>
      <c r="AT205" s="167"/>
      <c r="AZ205" s="167"/>
      <c r="BR205" s="167"/>
      <c r="BS205" s="161"/>
      <c r="BT205" s="167"/>
      <c r="BU205" s="161"/>
      <c r="BV205" s="167"/>
      <c r="BW205" s="161"/>
      <c r="BX205" s="167"/>
    </row>
    <row r="206" spans="18:76" x14ac:dyDescent="0.25">
      <c r="R206" s="167"/>
      <c r="S206" s="167"/>
      <c r="T206" s="167"/>
      <c r="U206" s="167"/>
      <c r="V206" s="167"/>
      <c r="W206" s="167"/>
      <c r="X206" s="167"/>
      <c r="Y206" s="167"/>
      <c r="Z206" s="167"/>
      <c r="AR206" s="167"/>
      <c r="AS206" s="167"/>
      <c r="AT206" s="167"/>
      <c r="AZ206" s="167"/>
      <c r="BR206" s="167"/>
      <c r="BS206" s="167"/>
      <c r="BT206" s="167"/>
      <c r="BU206" s="167"/>
      <c r="BV206" s="167"/>
      <c r="BW206" s="167"/>
      <c r="BX206" s="167"/>
    </row>
    <row r="207" spans="18:76" x14ac:dyDescent="0.25">
      <c r="R207" s="167"/>
      <c r="S207" s="161"/>
      <c r="T207" s="167"/>
      <c r="U207" s="161"/>
      <c r="V207" s="167"/>
      <c r="W207" s="161"/>
      <c r="X207" s="167"/>
      <c r="Y207" s="161"/>
      <c r="Z207" s="167"/>
      <c r="AR207" s="167"/>
      <c r="AS207" s="161"/>
      <c r="AT207" s="167"/>
      <c r="AZ207" s="167"/>
      <c r="BR207" s="167"/>
      <c r="BS207" s="161"/>
      <c r="BT207" s="167"/>
      <c r="BU207" s="161"/>
      <c r="BV207" s="167"/>
      <c r="BW207" s="161"/>
      <c r="BX207" s="167"/>
    </row>
    <row r="208" spans="18:76" x14ac:dyDescent="0.25">
      <c r="R208" s="167"/>
      <c r="S208" s="167"/>
      <c r="T208" s="167"/>
      <c r="U208" s="167"/>
      <c r="V208" s="167"/>
      <c r="W208" s="167"/>
      <c r="X208" s="167"/>
      <c r="Y208" s="167"/>
      <c r="Z208" s="167"/>
      <c r="AR208" s="167"/>
      <c r="AS208" s="167"/>
      <c r="AT208" s="167"/>
      <c r="AZ208" s="167"/>
      <c r="BR208" s="167"/>
      <c r="BS208" s="167"/>
      <c r="BT208" s="167"/>
      <c r="BU208" s="167"/>
      <c r="BV208" s="167"/>
      <c r="BW208" s="167"/>
      <c r="BX208" s="167"/>
    </row>
    <row r="209" spans="2:76" x14ac:dyDescent="0.25">
      <c r="R209" s="167"/>
      <c r="S209" s="161"/>
      <c r="T209" s="167"/>
      <c r="U209" s="161"/>
      <c r="V209" s="167"/>
      <c r="W209" s="161"/>
      <c r="X209" s="167"/>
      <c r="Y209" s="161"/>
      <c r="Z209" s="167"/>
      <c r="AR209" s="167"/>
      <c r="AS209" s="161"/>
      <c r="AT209" s="167"/>
      <c r="AZ209" s="167"/>
      <c r="BR209" s="167"/>
      <c r="BS209" s="161"/>
      <c r="BT209" s="167"/>
      <c r="BU209" s="161"/>
      <c r="BV209" s="167"/>
      <c r="BW209" s="161"/>
      <c r="BX209" s="167"/>
    </row>
    <row r="210" spans="2:76" x14ac:dyDescent="0.25">
      <c r="R210" s="167"/>
      <c r="S210" s="167"/>
      <c r="T210" s="167"/>
      <c r="U210" s="167"/>
      <c r="V210" s="167"/>
      <c r="W210" s="167"/>
      <c r="X210" s="167"/>
      <c r="Y210" s="167"/>
      <c r="Z210" s="167"/>
      <c r="AR210" s="167"/>
      <c r="AS210" s="167"/>
      <c r="AT210" s="167"/>
      <c r="AZ210" s="167"/>
      <c r="BR210" s="167"/>
      <c r="BS210" s="167"/>
      <c r="BT210" s="167"/>
      <c r="BU210" s="167"/>
      <c r="BV210" s="167"/>
      <c r="BW210" s="167"/>
      <c r="BX210" s="167"/>
    </row>
    <row r="211" spans="2:76" x14ac:dyDescent="0.25">
      <c r="R211" s="167"/>
      <c r="S211" s="161"/>
      <c r="T211" s="167"/>
      <c r="U211" s="161"/>
      <c r="V211" s="167"/>
      <c r="W211" s="161"/>
      <c r="X211" s="167"/>
      <c r="Y211" s="161"/>
      <c r="Z211" s="167"/>
      <c r="AR211" s="167"/>
      <c r="AS211" s="161"/>
      <c r="AT211" s="167"/>
      <c r="AZ211" s="167"/>
      <c r="BR211" s="167"/>
      <c r="BS211" s="161"/>
      <c r="BT211" s="167"/>
      <c r="BU211" s="161"/>
      <c r="BV211" s="167"/>
      <c r="BW211" s="161"/>
      <c r="BX211" s="167"/>
    </row>
    <row r="214" spans="2:76" s="150" customFormat="1" x14ac:dyDescent="0.25">
      <c r="B214" s="151"/>
      <c r="C214" s="151"/>
      <c r="D214" s="151"/>
      <c r="E214" s="151"/>
      <c r="F214" s="151"/>
      <c r="G214" s="151"/>
      <c r="H214" s="151"/>
      <c r="I214" s="180"/>
      <c r="J214" s="151"/>
      <c r="K214" s="151"/>
      <c r="L214" s="151"/>
      <c r="M214" s="151"/>
      <c r="N214" s="151"/>
      <c r="O214" s="151"/>
      <c r="AB214" s="151"/>
      <c r="AC214" s="151"/>
      <c r="AD214" s="151"/>
      <c r="AE214" s="151"/>
      <c r="AF214" s="151"/>
      <c r="AG214" s="151"/>
      <c r="AH214" s="151"/>
      <c r="AI214" s="180"/>
      <c r="AJ214" s="151"/>
      <c r="AK214" s="151"/>
      <c r="AL214" s="151"/>
      <c r="AM214" s="151"/>
      <c r="AN214" s="151"/>
      <c r="AO214" s="151"/>
      <c r="BB214" s="151"/>
      <c r="BC214" s="151"/>
      <c r="BD214" s="151"/>
      <c r="BE214" s="151"/>
      <c r="BF214" s="151"/>
      <c r="BG214" s="151"/>
      <c r="BH214" s="151"/>
      <c r="BI214" s="180"/>
      <c r="BJ214" s="151"/>
      <c r="BK214" s="151"/>
      <c r="BL214" s="151"/>
      <c r="BM214" s="151"/>
      <c r="BN214" s="151"/>
      <c r="BO214" s="151"/>
    </row>
    <row r="215" spans="2:76" x14ac:dyDescent="0.25">
      <c r="B215" s="150"/>
      <c r="C215" s="150"/>
      <c r="D215" s="150"/>
      <c r="E215" s="150"/>
      <c r="F215" s="150"/>
      <c r="G215" s="150"/>
      <c r="H215" s="150"/>
      <c r="I215" s="187"/>
      <c r="J215" s="150"/>
      <c r="K215" s="150"/>
      <c r="L215" s="150"/>
      <c r="M215" s="150"/>
      <c r="N215" s="150"/>
      <c r="O215" s="150"/>
      <c r="AB215" s="150"/>
      <c r="AC215" s="150"/>
      <c r="AD215" s="150"/>
      <c r="AE215" s="150"/>
      <c r="AF215" s="150"/>
      <c r="AG215" s="150"/>
      <c r="AH215" s="150"/>
      <c r="AI215" s="187"/>
      <c r="AJ215" s="150"/>
      <c r="AK215" s="150"/>
      <c r="AL215" s="150"/>
      <c r="AM215" s="150"/>
      <c r="AN215" s="150"/>
      <c r="AO215" s="150"/>
      <c r="BB215" s="150"/>
      <c r="BC215" s="150"/>
      <c r="BD215" s="150"/>
      <c r="BE215" s="150"/>
      <c r="BF215" s="150"/>
      <c r="BG215" s="150"/>
      <c r="BH215" s="150"/>
      <c r="BI215" s="187"/>
      <c r="BJ215" s="150"/>
      <c r="BK215" s="150"/>
      <c r="BL215" s="150"/>
      <c r="BM215" s="150"/>
      <c r="BN215" s="150"/>
      <c r="BO215" s="150"/>
    </row>
    <row r="220" spans="2:76" s="150" customFormat="1" x14ac:dyDescent="0.25">
      <c r="B220" s="151"/>
      <c r="C220" s="151"/>
      <c r="D220" s="151"/>
      <c r="E220" s="151"/>
      <c r="F220" s="151"/>
      <c r="G220" s="151"/>
      <c r="H220" s="151"/>
      <c r="I220" s="180"/>
      <c r="J220" s="151"/>
      <c r="K220" s="151"/>
      <c r="L220" s="151"/>
      <c r="M220" s="151"/>
      <c r="N220" s="151"/>
      <c r="O220" s="151"/>
      <c r="AB220" s="151"/>
      <c r="AC220" s="151"/>
      <c r="AD220" s="151"/>
      <c r="AE220" s="151"/>
      <c r="AF220" s="151"/>
      <c r="AG220" s="151"/>
      <c r="AH220" s="151"/>
      <c r="AI220" s="180"/>
      <c r="AJ220" s="151"/>
      <c r="AK220" s="151"/>
      <c r="AL220" s="151"/>
      <c r="AM220" s="151"/>
      <c r="AN220" s="151"/>
      <c r="AO220" s="151"/>
      <c r="BB220" s="151"/>
      <c r="BC220" s="151"/>
      <c r="BD220" s="151"/>
      <c r="BE220" s="151"/>
      <c r="BF220" s="151"/>
      <c r="BG220" s="151"/>
      <c r="BH220" s="151"/>
      <c r="BI220" s="180"/>
      <c r="BJ220" s="151"/>
      <c r="BK220" s="151"/>
      <c r="BL220" s="151"/>
      <c r="BM220" s="151"/>
      <c r="BN220" s="151"/>
      <c r="BO220" s="151"/>
    </row>
    <row r="221" spans="2:76" x14ac:dyDescent="0.25">
      <c r="B221" s="150"/>
      <c r="C221" s="150"/>
      <c r="D221" s="150"/>
      <c r="E221" s="150"/>
      <c r="F221" s="150"/>
      <c r="G221" s="150"/>
      <c r="H221" s="150"/>
      <c r="I221" s="187"/>
      <c r="J221" s="150"/>
      <c r="K221" s="150"/>
      <c r="L221" s="150"/>
      <c r="M221" s="150"/>
      <c r="N221" s="150"/>
      <c r="O221" s="150"/>
      <c r="AB221" s="150"/>
      <c r="AC221" s="150"/>
      <c r="AD221" s="150"/>
      <c r="AE221" s="150"/>
      <c r="AF221" s="150"/>
      <c r="AG221" s="150"/>
      <c r="AH221" s="150"/>
      <c r="AI221" s="187"/>
      <c r="AJ221" s="150"/>
      <c r="AK221" s="150"/>
      <c r="AL221" s="150"/>
      <c r="AM221" s="150"/>
      <c r="AN221" s="150"/>
      <c r="AO221" s="150"/>
      <c r="BB221" s="150"/>
      <c r="BC221" s="150"/>
      <c r="BD221" s="150"/>
      <c r="BE221" s="150"/>
      <c r="BF221" s="150"/>
      <c r="BG221" s="150"/>
      <c r="BH221" s="150"/>
      <c r="BI221" s="187"/>
      <c r="BJ221" s="150"/>
      <c r="BK221" s="150"/>
      <c r="BL221" s="150"/>
      <c r="BM221" s="150"/>
      <c r="BN221" s="150"/>
      <c r="BO221" s="150"/>
    </row>
    <row r="300" spans="9:9" x14ac:dyDescent="0.25">
      <c r="I300" s="180" t="s">
        <v>250</v>
      </c>
    </row>
  </sheetData>
  <pageMargins left="0.3" right="0.3" top="0.25" bottom="0.25" header="0.05" footer="0.05"/>
  <pageSetup paperSize="5" scale="80" fitToHeight="0" orientation="landscape" r:id="rId1"/>
  <headerFooter>
    <oddHeader>&amp;RDEF’s Response to OPC POD 1 (1-26)
Q7
Page &amp;P of &amp;N</oddHeader>
    <oddFooter xml:space="preserve">&amp;R&amp;9&amp;Z&amp;F "&amp;A" &amp;D &amp;[Time
20240025-OPCPOD1-00004288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6" ma:contentTypeDescription="Create a new document." ma:contentTypeScope="" ma:versionID="4c362b19ee3327833c3f56f132cf66b6">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19f4afdcdad0360863ada656c772d039"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Props1.xml><?xml version="1.0" encoding="utf-8"?>
<ds:datastoreItem xmlns:ds="http://schemas.openxmlformats.org/officeDocument/2006/customXml" ds:itemID="{5F898028-D298-4D21-85BF-113479D8573F}">
  <ds:schemaRefs>
    <ds:schemaRef ds:uri="http://schemas.microsoft.com/sharepoint/v3/contenttype/forms"/>
  </ds:schemaRefs>
</ds:datastoreItem>
</file>

<file path=customXml/itemProps2.xml><?xml version="1.0" encoding="utf-8"?>
<ds:datastoreItem xmlns:ds="http://schemas.openxmlformats.org/officeDocument/2006/customXml" ds:itemID="{BD4BF546-D27C-4B85-93D7-5EEBC5375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B998FA-9C22-4EF4-95F2-FAAE51C8FBEC}">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Procedures &amp; Inputs</vt:lpstr>
      <vt:lpstr>E-6a (1)</vt:lpstr>
      <vt:lpstr>E-6a (2-4)_12CP &amp; 25</vt:lpstr>
      <vt:lpstr>E-6a (5-7)_12CP &amp; 1-13 AD</vt:lpstr>
      <vt:lpstr>E-6a (8-10)</vt:lpstr>
      <vt:lpstr>E-6a (11-13)</vt:lpstr>
    </vt:vector>
  </TitlesOfParts>
  <Company>Duke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Yager, Kourtni M.</dc:creator>
  <cp:lastModifiedBy>Hampton, Monique</cp:lastModifiedBy>
  <cp:lastPrinted>2024-04-14T21:09:19Z</cp:lastPrinted>
  <dcterms:created xsi:type="dcterms:W3CDTF">2024-03-22T02:14:07Z</dcterms:created>
  <dcterms:modified xsi:type="dcterms:W3CDTF">2024-04-14T21:09:26Z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MediaServiceImageTags">
    <vt:lpwstr/>
  </property>
</Properties>
</file>