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13_ncr:1_{0FBFAE3C-E7F4-4622-AE58-D28950F7DD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-18" sheetId="1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DocketNum">[1]Sheet1!$B$5</definedName>
    <definedName name="HistYear">'B-18'!#REF!</definedName>
    <definedName name="PG_1">'B-18'!#REF!</definedName>
    <definedName name="PG_10">'B-18'!#REF!</definedName>
    <definedName name="PG_11">'B-18'!#REF!</definedName>
    <definedName name="PG_12">'B-18'!#REF!</definedName>
    <definedName name="PG_13">'B-18'!#REF!</definedName>
    <definedName name="PG_14">'B-18'!$A$1:$X$34</definedName>
    <definedName name="PG_15">'B-18'!$A$35:$X$107</definedName>
    <definedName name="PG_16">'B-18'!$A$108:$X$141</definedName>
    <definedName name="PG_17">'B-18'!$A$142:$X$187</definedName>
    <definedName name="PG_18">'B-18'!$A$188:$X$231</definedName>
    <definedName name="PG_2">'B-18'!#REF!</definedName>
    <definedName name="PG_3">'B-18'!#REF!</definedName>
    <definedName name="PG_4">'B-18'!#REF!</definedName>
    <definedName name="PG_5">'B-18'!#REF!</definedName>
    <definedName name="PG_6">'B-18'!#REF!</definedName>
    <definedName name="PG_7">'B-18'!#REF!</definedName>
    <definedName name="PG_8">'B-18'!#REF!</definedName>
    <definedName name="PG_9">'B-18'!#REF!</definedName>
    <definedName name="PG1_2007">#REF!</definedName>
    <definedName name="PG2_2007">#REF!</definedName>
    <definedName name="PG3_2007">#REF!</definedName>
    <definedName name="PG4_2007">#REF!</definedName>
    <definedName name="PLine1">[1]Sheet1!$B$8</definedName>
    <definedName name="PLine2">[1]Sheet1!$B$9</definedName>
    <definedName name="PLine3">[1]Sheet1!$B$10</definedName>
    <definedName name="PLine4">[1]Sheet1!$B$11</definedName>
    <definedName name="_xlnm.Print_Area" localSheetId="0">'B-18'!$A$1:$X$233</definedName>
    <definedName name="PriorYear">'B-18'!#REF!</definedName>
    <definedName name="TestYear">'B-18'!#REF!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7" l="1"/>
  <c r="K49" i="17"/>
  <c r="J49" i="17"/>
  <c r="N233" i="17"/>
  <c r="N232" i="17"/>
  <c r="N231" i="17"/>
  <c r="N230" i="17"/>
  <c r="N229" i="17"/>
  <c r="N228" i="17"/>
  <c r="N227" i="17"/>
  <c r="N226" i="17"/>
  <c r="N225" i="17"/>
  <c r="N224" i="17"/>
  <c r="N223" i="17"/>
  <c r="N222" i="17"/>
  <c r="G233" i="17"/>
  <c r="G232" i="17"/>
  <c r="G231" i="17"/>
  <c r="G230" i="17"/>
  <c r="G229" i="17"/>
  <c r="G228" i="17"/>
  <c r="G227" i="17"/>
  <c r="G226" i="17"/>
  <c r="G225" i="17"/>
  <c r="G224" i="17"/>
  <c r="G223" i="17"/>
  <c r="G222" i="17"/>
  <c r="N203" i="17"/>
  <c r="M203" i="17"/>
  <c r="N202" i="17"/>
  <c r="M202" i="17"/>
  <c r="N201" i="17"/>
  <c r="M201" i="17"/>
  <c r="N200" i="17"/>
  <c r="M200" i="17"/>
  <c r="N199" i="17"/>
  <c r="M199" i="17"/>
  <c r="N198" i="17"/>
  <c r="M198" i="17"/>
  <c r="N197" i="17"/>
  <c r="M197" i="17"/>
  <c r="N196" i="17"/>
  <c r="M196" i="17"/>
  <c r="N195" i="17"/>
  <c r="M195" i="17"/>
  <c r="N194" i="17"/>
  <c r="M194" i="17"/>
  <c r="N193" i="17"/>
  <c r="M193" i="17"/>
  <c r="N192" i="17"/>
  <c r="M192" i="17"/>
  <c r="N169" i="17"/>
  <c r="M169" i="17"/>
  <c r="N168" i="17"/>
  <c r="M168" i="17"/>
  <c r="N167" i="17"/>
  <c r="M167" i="17"/>
  <c r="N166" i="17"/>
  <c r="M166" i="17"/>
  <c r="N165" i="17"/>
  <c r="M165" i="17"/>
  <c r="N164" i="17"/>
  <c r="M164" i="17"/>
  <c r="N163" i="17"/>
  <c r="M163" i="17"/>
  <c r="N162" i="17"/>
  <c r="M162" i="17"/>
  <c r="N161" i="17"/>
  <c r="M161" i="17"/>
  <c r="N160" i="17"/>
  <c r="M160" i="17"/>
  <c r="N159" i="17"/>
  <c r="M159" i="17"/>
  <c r="N149" i="17"/>
  <c r="M149" i="17"/>
  <c r="N148" i="17"/>
  <c r="M148" i="17"/>
  <c r="N147" i="17"/>
  <c r="M147" i="17"/>
  <c r="N146" i="17"/>
  <c r="M146" i="17"/>
  <c r="N145" i="17"/>
  <c r="M145" i="17"/>
  <c r="N144" i="17"/>
  <c r="M144" i="17"/>
  <c r="N143" i="17"/>
  <c r="M143" i="17"/>
  <c r="N142" i="17"/>
  <c r="M142" i="17"/>
  <c r="N141" i="17"/>
  <c r="M141" i="17"/>
  <c r="N140" i="17"/>
  <c r="M140" i="17"/>
  <c r="N139" i="17"/>
  <c r="M139" i="17"/>
  <c r="N138" i="17"/>
  <c r="M138" i="17"/>
  <c r="Q81" i="17"/>
  <c r="N81" i="17"/>
  <c r="M81" i="17"/>
  <c r="K81" i="17"/>
  <c r="J81" i="17"/>
  <c r="Q80" i="17"/>
  <c r="N80" i="17"/>
  <c r="M80" i="17"/>
  <c r="K80" i="17"/>
  <c r="J80" i="17"/>
  <c r="Q79" i="17"/>
  <c r="N79" i="17"/>
  <c r="M79" i="17"/>
  <c r="K79" i="17"/>
  <c r="J79" i="17"/>
  <c r="Q78" i="17"/>
  <c r="N78" i="17"/>
  <c r="M78" i="17"/>
  <c r="K78" i="17"/>
  <c r="J78" i="17"/>
  <c r="Q77" i="17"/>
  <c r="N77" i="17"/>
  <c r="M77" i="17"/>
  <c r="K77" i="17"/>
  <c r="J77" i="17"/>
  <c r="Q76" i="17"/>
  <c r="N76" i="17"/>
  <c r="M76" i="17"/>
  <c r="K76" i="17"/>
  <c r="J76" i="17"/>
  <c r="Q75" i="17"/>
  <c r="N75" i="17"/>
  <c r="M75" i="17"/>
  <c r="K75" i="17"/>
  <c r="J75" i="17"/>
  <c r="Q74" i="17"/>
  <c r="N74" i="17"/>
  <c r="M74" i="17"/>
  <c r="K74" i="17"/>
  <c r="J74" i="17"/>
  <c r="Q73" i="17"/>
  <c r="N73" i="17"/>
  <c r="M73" i="17"/>
  <c r="K73" i="17"/>
  <c r="J73" i="17"/>
  <c r="Q72" i="17"/>
  <c r="N72" i="17"/>
  <c r="M72" i="17"/>
  <c r="K72" i="17"/>
  <c r="J72" i="17"/>
  <c r="Q71" i="17"/>
  <c r="N71" i="17"/>
  <c r="M71" i="17"/>
  <c r="K71" i="17"/>
  <c r="J71" i="17"/>
  <c r="Q70" i="17"/>
  <c r="N70" i="17"/>
  <c r="M70" i="17"/>
  <c r="K70" i="17"/>
  <c r="J70" i="17"/>
  <c r="W61" i="17"/>
  <c r="V61" i="17"/>
  <c r="W60" i="17"/>
  <c r="V60" i="17"/>
  <c r="W59" i="17"/>
  <c r="V59" i="17"/>
  <c r="W58" i="17"/>
  <c r="V58" i="17"/>
  <c r="W57" i="17"/>
  <c r="V57" i="17"/>
  <c r="W56" i="17"/>
  <c r="V56" i="17"/>
  <c r="W55" i="17"/>
  <c r="V55" i="17"/>
  <c r="W54" i="17"/>
  <c r="V54" i="17"/>
  <c r="W53" i="17"/>
  <c r="V53" i="17"/>
  <c r="W52" i="17"/>
  <c r="V52" i="17"/>
  <c r="W51" i="17"/>
  <c r="V51" i="17"/>
  <c r="W50" i="17"/>
  <c r="V50" i="17"/>
  <c r="Q61" i="17"/>
  <c r="N61" i="17"/>
  <c r="K61" i="17"/>
  <c r="J61" i="17"/>
  <c r="Q60" i="17"/>
  <c r="K60" i="17"/>
  <c r="J60" i="17"/>
  <c r="Q59" i="17"/>
  <c r="N59" i="17"/>
  <c r="M59" i="17"/>
  <c r="K59" i="17"/>
  <c r="J59" i="17"/>
  <c r="Q58" i="17"/>
  <c r="N58" i="17"/>
  <c r="M58" i="17"/>
  <c r="K58" i="17"/>
  <c r="J58" i="17"/>
  <c r="Q57" i="17"/>
  <c r="K57" i="17"/>
  <c r="J57" i="17"/>
  <c r="Q56" i="17"/>
  <c r="N56" i="17"/>
  <c r="K56" i="17"/>
  <c r="J56" i="17"/>
  <c r="Q55" i="17"/>
  <c r="N55" i="17"/>
  <c r="M55" i="17"/>
  <c r="K55" i="17"/>
  <c r="J55" i="17"/>
  <c r="Q54" i="17"/>
  <c r="N54" i="17"/>
  <c r="M54" i="17"/>
  <c r="K54" i="17"/>
  <c r="J54" i="17"/>
  <c r="Q53" i="17"/>
  <c r="N53" i="17"/>
  <c r="K53" i="17"/>
  <c r="J53" i="17"/>
  <c r="Q52" i="17"/>
  <c r="N52" i="17"/>
  <c r="K52" i="17"/>
  <c r="J52" i="17"/>
  <c r="Q51" i="17"/>
  <c r="N51" i="17"/>
  <c r="K51" i="17"/>
  <c r="J51" i="17"/>
  <c r="Q50" i="17"/>
  <c r="N50" i="17"/>
  <c r="K50" i="17"/>
  <c r="J50" i="17"/>
  <c r="W27" i="17"/>
  <c r="V27" i="17"/>
  <c r="W26" i="17"/>
  <c r="V26" i="17"/>
  <c r="W25" i="17"/>
  <c r="V25" i="17"/>
  <c r="W24" i="17"/>
  <c r="V24" i="17"/>
  <c r="W23" i="17"/>
  <c r="V23" i="17"/>
  <c r="W22" i="17"/>
  <c r="V22" i="17"/>
  <c r="W21" i="17"/>
  <c r="V21" i="17"/>
  <c r="W20" i="17"/>
  <c r="V20" i="17"/>
  <c r="W19" i="17"/>
  <c r="V19" i="17"/>
  <c r="W18" i="17"/>
  <c r="V18" i="17"/>
  <c r="W17" i="17"/>
  <c r="V17" i="17"/>
  <c r="W16" i="17"/>
  <c r="V16" i="17"/>
  <c r="Q27" i="17"/>
  <c r="P27" i="17"/>
  <c r="N27" i="17"/>
  <c r="M27" i="17"/>
  <c r="K27" i="17"/>
  <c r="J27" i="17"/>
  <c r="H27" i="17"/>
  <c r="Q26" i="17"/>
  <c r="P26" i="17"/>
  <c r="N26" i="17"/>
  <c r="M26" i="17"/>
  <c r="K26" i="17"/>
  <c r="J26" i="17"/>
  <c r="H26" i="17"/>
  <c r="Q25" i="17"/>
  <c r="P25" i="17"/>
  <c r="N25" i="17"/>
  <c r="M25" i="17"/>
  <c r="K25" i="17"/>
  <c r="J25" i="17"/>
  <c r="H25" i="17"/>
  <c r="Q24" i="17"/>
  <c r="P24" i="17"/>
  <c r="N24" i="17"/>
  <c r="M24" i="17"/>
  <c r="K24" i="17"/>
  <c r="J24" i="17"/>
  <c r="H24" i="17"/>
  <c r="Q23" i="17"/>
  <c r="P23" i="17"/>
  <c r="N23" i="17"/>
  <c r="M23" i="17"/>
  <c r="K23" i="17"/>
  <c r="J23" i="17"/>
  <c r="H23" i="17"/>
  <c r="Q22" i="17"/>
  <c r="P22" i="17"/>
  <c r="N22" i="17"/>
  <c r="M22" i="17"/>
  <c r="K22" i="17"/>
  <c r="J22" i="17"/>
  <c r="H22" i="17"/>
  <c r="Q21" i="17"/>
  <c r="P21" i="17"/>
  <c r="N21" i="17"/>
  <c r="M21" i="17"/>
  <c r="K21" i="17"/>
  <c r="J21" i="17"/>
  <c r="H21" i="17"/>
  <c r="Q20" i="17"/>
  <c r="P20" i="17"/>
  <c r="N20" i="17"/>
  <c r="M20" i="17"/>
  <c r="K20" i="17"/>
  <c r="J20" i="17"/>
  <c r="H20" i="17"/>
  <c r="Q19" i="17"/>
  <c r="P19" i="17"/>
  <c r="N19" i="17"/>
  <c r="M19" i="17"/>
  <c r="K19" i="17"/>
  <c r="J19" i="17"/>
  <c r="H19" i="17"/>
  <c r="Q18" i="17"/>
  <c r="P18" i="17"/>
  <c r="N18" i="17"/>
  <c r="M18" i="17"/>
  <c r="K18" i="17"/>
  <c r="J18" i="17"/>
  <c r="H18" i="17"/>
  <c r="Q17" i="17"/>
  <c r="P17" i="17"/>
  <c r="N17" i="17"/>
  <c r="M17" i="17"/>
  <c r="K17" i="17"/>
  <c r="J17" i="17"/>
  <c r="H17" i="17"/>
  <c r="Q16" i="17"/>
  <c r="P16" i="17"/>
  <c r="N16" i="17"/>
  <c r="M16" i="17"/>
  <c r="K16" i="17"/>
  <c r="L16" i="17" s="1"/>
  <c r="J16" i="17"/>
  <c r="H16" i="17"/>
  <c r="L27" i="17" l="1"/>
  <c r="L19" i="17"/>
  <c r="L23" i="17"/>
  <c r="L22" i="17"/>
  <c r="L21" i="17"/>
  <c r="L20" i="17"/>
  <c r="L17" i="17"/>
  <c r="L25" i="17"/>
  <c r="L26" i="17"/>
  <c r="N221" i="17"/>
  <c r="W15" i="17"/>
  <c r="V15" i="17"/>
  <c r="N15" i="17"/>
  <c r="M15" i="17"/>
  <c r="K15" i="17"/>
  <c r="J15" i="17"/>
  <c r="H15" i="17"/>
  <c r="T49" i="17" l="1"/>
  <c r="S49" i="17"/>
  <c r="N49" i="17" l="1"/>
  <c r="M49" i="17"/>
  <c r="T221" i="17" l="1"/>
  <c r="G221" i="17"/>
  <c r="W191" i="17"/>
  <c r="V191" i="17"/>
  <c r="N191" i="17"/>
  <c r="M191" i="17"/>
  <c r="K191" i="17"/>
  <c r="J191" i="17"/>
  <c r="H191" i="17"/>
  <c r="G191" i="17"/>
  <c r="W157" i="17"/>
  <c r="V157" i="17"/>
  <c r="N157" i="17"/>
  <c r="M157" i="17"/>
  <c r="K157" i="17"/>
  <c r="J157" i="17"/>
  <c r="H157" i="17"/>
  <c r="G157" i="17"/>
  <c r="W137" i="17"/>
  <c r="V137" i="17"/>
  <c r="N137" i="17"/>
  <c r="M137" i="17"/>
  <c r="K137" i="17"/>
  <c r="J137" i="17"/>
  <c r="H137" i="17"/>
  <c r="G137" i="17"/>
  <c r="W49" i="17"/>
  <c r="V49" i="17"/>
  <c r="H49" i="17"/>
  <c r="G49" i="17"/>
  <c r="G16" i="17" l="1"/>
  <c r="U137" i="17" l="1"/>
  <c r="R137" i="17"/>
  <c r="U49" i="17" l="1"/>
  <c r="U15" i="17" l="1"/>
  <c r="R27" i="17"/>
  <c r="U27" i="17"/>
  <c r="R71" i="17" l="1"/>
  <c r="R70" i="17"/>
  <c r="R73" i="17"/>
  <c r="R80" i="17"/>
  <c r="O79" i="17"/>
  <c r="R72" i="17"/>
  <c r="R76" i="17"/>
  <c r="R74" i="17"/>
  <c r="R78" i="17"/>
  <c r="R81" i="17"/>
  <c r="O197" i="17"/>
  <c r="O202" i="17"/>
  <c r="O141" i="17"/>
  <c r="O203" i="17"/>
  <c r="O201" i="17"/>
  <c r="O142" i="17"/>
  <c r="O140" i="17"/>
  <c r="O72" i="17"/>
  <c r="O78" i="17"/>
  <c r="O80" i="17"/>
  <c r="I69" i="17"/>
  <c r="W115" i="17"/>
  <c r="V115" i="17"/>
  <c r="W114" i="17"/>
  <c r="V114" i="17"/>
  <c r="G115" i="17" s="1"/>
  <c r="W113" i="17"/>
  <c r="V113" i="17"/>
  <c r="G114" i="17" s="1"/>
  <c r="W112" i="17"/>
  <c r="H113" i="17" s="1"/>
  <c r="V112" i="17"/>
  <c r="G113" i="17" s="1"/>
  <c r="W111" i="17"/>
  <c r="H112" i="17" s="1"/>
  <c r="V111" i="17"/>
  <c r="W110" i="17"/>
  <c r="H111" i="17" s="1"/>
  <c r="V110" i="17"/>
  <c r="G111" i="17" s="1"/>
  <c r="W109" i="17"/>
  <c r="H110" i="17" s="1"/>
  <c r="V109" i="17"/>
  <c r="G110" i="17" s="1"/>
  <c r="W108" i="17"/>
  <c r="V108" i="17"/>
  <c r="G109" i="17" s="1"/>
  <c r="W107" i="17"/>
  <c r="V107" i="17"/>
  <c r="G108" i="17" s="1"/>
  <c r="W106" i="17"/>
  <c r="H107" i="17" s="1"/>
  <c r="V106" i="17"/>
  <c r="G107" i="17" s="1"/>
  <c r="W105" i="17"/>
  <c r="H106" i="17" s="1"/>
  <c r="V105" i="17"/>
  <c r="G106" i="17" s="1"/>
  <c r="W104" i="17"/>
  <c r="H105" i="17" s="1"/>
  <c r="V104" i="17"/>
  <c r="G105" i="17" s="1"/>
  <c r="K115" i="17"/>
  <c r="J115" i="17"/>
  <c r="K114" i="17"/>
  <c r="J114" i="17"/>
  <c r="K113" i="17"/>
  <c r="J113" i="17"/>
  <c r="K112" i="17"/>
  <c r="J112" i="17"/>
  <c r="K111" i="17"/>
  <c r="J111" i="17"/>
  <c r="K110" i="17"/>
  <c r="J110" i="17"/>
  <c r="K109" i="17"/>
  <c r="J109" i="17"/>
  <c r="K108" i="17"/>
  <c r="J108" i="17"/>
  <c r="K107" i="17"/>
  <c r="J107" i="17"/>
  <c r="K106" i="17"/>
  <c r="J106" i="17"/>
  <c r="K105" i="17"/>
  <c r="J105" i="17"/>
  <c r="K104" i="17"/>
  <c r="J104" i="17"/>
  <c r="W81" i="17"/>
  <c r="V81" i="17"/>
  <c r="W80" i="17"/>
  <c r="H81" i="17" s="1"/>
  <c r="V80" i="17"/>
  <c r="G81" i="17" s="1"/>
  <c r="W79" i="17"/>
  <c r="H80" i="17" s="1"/>
  <c r="V79" i="17"/>
  <c r="G80" i="17" s="1"/>
  <c r="W78" i="17"/>
  <c r="V78" i="17"/>
  <c r="G79" i="17" s="1"/>
  <c r="W77" i="17"/>
  <c r="H78" i="17" s="1"/>
  <c r="V77" i="17"/>
  <c r="W76" i="17"/>
  <c r="H77" i="17" s="1"/>
  <c r="V76" i="17"/>
  <c r="W75" i="17"/>
  <c r="H76" i="17" s="1"/>
  <c r="V75" i="17"/>
  <c r="G76" i="17" s="1"/>
  <c r="W74" i="17"/>
  <c r="V74" i="17"/>
  <c r="G75" i="17" s="1"/>
  <c r="W73" i="17"/>
  <c r="H74" i="17" s="1"/>
  <c r="V73" i="17"/>
  <c r="G74" i="17" s="1"/>
  <c r="W72" i="17"/>
  <c r="H73" i="17" s="1"/>
  <c r="V72" i="17"/>
  <c r="G73" i="17" s="1"/>
  <c r="W71" i="17"/>
  <c r="V71" i="17"/>
  <c r="G72" i="17" s="1"/>
  <c r="W70" i="17"/>
  <c r="H71" i="17" s="1"/>
  <c r="V70" i="17"/>
  <c r="W103" i="17"/>
  <c r="H104" i="17" s="1"/>
  <c r="V103" i="17"/>
  <c r="G104" i="17" s="1"/>
  <c r="K103" i="17"/>
  <c r="J103" i="17"/>
  <c r="W69" i="17"/>
  <c r="H70" i="17" s="1"/>
  <c r="V69" i="17"/>
  <c r="Q69" i="17"/>
  <c r="R69" i="17" s="1"/>
  <c r="M69" i="17"/>
  <c r="O198" i="17"/>
  <c r="O144" i="17"/>
  <c r="R77" i="17"/>
  <c r="O199" i="17"/>
  <c r="U103" i="17"/>
  <c r="R103" i="17"/>
  <c r="O103" i="17"/>
  <c r="U69" i="17"/>
  <c r="S30" i="17"/>
  <c r="U203" i="17"/>
  <c r="U202" i="17"/>
  <c r="U201" i="17"/>
  <c r="U200" i="17"/>
  <c r="U199" i="17"/>
  <c r="U198" i="17"/>
  <c r="U197" i="17"/>
  <c r="U196" i="17"/>
  <c r="U195" i="17"/>
  <c r="U194" i="17"/>
  <c r="U193" i="17"/>
  <c r="U192" i="17"/>
  <c r="R203" i="17"/>
  <c r="R202" i="17"/>
  <c r="R201" i="17"/>
  <c r="R200" i="17"/>
  <c r="R199" i="17"/>
  <c r="R198" i="17"/>
  <c r="R197" i="17"/>
  <c r="R196" i="17"/>
  <c r="R195" i="17"/>
  <c r="R194" i="17"/>
  <c r="R193" i="17"/>
  <c r="R192" i="17"/>
  <c r="U169" i="17"/>
  <c r="U168" i="17"/>
  <c r="U167" i="17"/>
  <c r="U166" i="17"/>
  <c r="U165" i="17"/>
  <c r="U164" i="17"/>
  <c r="U163" i="17"/>
  <c r="U162" i="17"/>
  <c r="U161" i="17"/>
  <c r="U160" i="17"/>
  <c r="U159" i="17"/>
  <c r="U158" i="17"/>
  <c r="R169" i="17"/>
  <c r="R168" i="17"/>
  <c r="R167" i="17"/>
  <c r="R166" i="17"/>
  <c r="R165" i="17"/>
  <c r="R164" i="17"/>
  <c r="R163" i="17"/>
  <c r="R162" i="17"/>
  <c r="R161" i="17"/>
  <c r="R160" i="17"/>
  <c r="R159" i="17"/>
  <c r="R158" i="17"/>
  <c r="U149" i="17"/>
  <c r="U148" i="17"/>
  <c r="U147" i="17"/>
  <c r="U146" i="17"/>
  <c r="U145" i="17"/>
  <c r="U144" i="17"/>
  <c r="U143" i="17"/>
  <c r="U142" i="17"/>
  <c r="U141" i="17"/>
  <c r="U140" i="17"/>
  <c r="U139" i="17"/>
  <c r="U138" i="17"/>
  <c r="R149" i="17"/>
  <c r="R148" i="17"/>
  <c r="R147" i="17"/>
  <c r="R146" i="17"/>
  <c r="R145" i="17"/>
  <c r="R144" i="17"/>
  <c r="R143" i="17"/>
  <c r="R142" i="17"/>
  <c r="R141" i="17"/>
  <c r="R140" i="17"/>
  <c r="R139" i="17"/>
  <c r="R138" i="17"/>
  <c r="U115" i="17"/>
  <c r="U114" i="17"/>
  <c r="U113" i="17"/>
  <c r="U112" i="17"/>
  <c r="U111" i="17"/>
  <c r="U110" i="17"/>
  <c r="U109" i="17"/>
  <c r="U108" i="17"/>
  <c r="U107" i="17"/>
  <c r="U106" i="17"/>
  <c r="U105" i="17"/>
  <c r="U104" i="17"/>
  <c r="R115" i="17"/>
  <c r="R114" i="17"/>
  <c r="R113" i="17"/>
  <c r="R112" i="17"/>
  <c r="R111" i="17"/>
  <c r="R110" i="17"/>
  <c r="R109" i="17"/>
  <c r="R108" i="17"/>
  <c r="R107" i="17"/>
  <c r="R106" i="17"/>
  <c r="R105" i="17"/>
  <c r="R104" i="17"/>
  <c r="O115" i="17"/>
  <c r="O114" i="17"/>
  <c r="O113" i="17"/>
  <c r="O112" i="17"/>
  <c r="O111" i="17"/>
  <c r="O110" i="17"/>
  <c r="O109" i="17"/>
  <c r="O108" i="17"/>
  <c r="O107" i="17"/>
  <c r="O106" i="17"/>
  <c r="O105" i="17"/>
  <c r="O104" i="17"/>
  <c r="U81" i="17"/>
  <c r="U80" i="17"/>
  <c r="U79" i="17"/>
  <c r="U78" i="17"/>
  <c r="U77" i="17"/>
  <c r="U76" i="17"/>
  <c r="U75" i="17"/>
  <c r="U74" i="17"/>
  <c r="U73" i="17"/>
  <c r="U72" i="17"/>
  <c r="U71" i="17"/>
  <c r="U70" i="17"/>
  <c r="U61" i="17"/>
  <c r="U60" i="17"/>
  <c r="U59" i="17"/>
  <c r="U58" i="17"/>
  <c r="U57" i="17"/>
  <c r="U56" i="17"/>
  <c r="U55" i="17"/>
  <c r="U54" i="17"/>
  <c r="U53" i="17"/>
  <c r="U52" i="17"/>
  <c r="U51" i="17"/>
  <c r="U50" i="17"/>
  <c r="U26" i="17"/>
  <c r="U25" i="17"/>
  <c r="U24" i="17"/>
  <c r="U23" i="17"/>
  <c r="U22" i="17"/>
  <c r="U21" i="17"/>
  <c r="U20" i="17"/>
  <c r="U19" i="17"/>
  <c r="U18" i="17"/>
  <c r="U17" i="17"/>
  <c r="U16" i="17"/>
  <c r="R79" i="17"/>
  <c r="Q150" i="17"/>
  <c r="P82" i="17"/>
  <c r="P62" i="17"/>
  <c r="P64" i="17"/>
  <c r="M116" i="17"/>
  <c r="N116" i="17"/>
  <c r="P116" i="17"/>
  <c r="Q116" i="17"/>
  <c r="M118" i="17"/>
  <c r="N118" i="17"/>
  <c r="P118" i="17"/>
  <c r="Q118" i="17"/>
  <c r="P150" i="17"/>
  <c r="S150" i="17"/>
  <c r="T150" i="17"/>
  <c r="P152" i="17"/>
  <c r="S152" i="17"/>
  <c r="T152" i="17"/>
  <c r="P170" i="17"/>
  <c r="Q170" i="17"/>
  <c r="S170" i="17"/>
  <c r="T170" i="17"/>
  <c r="P172" i="17"/>
  <c r="Q172" i="17"/>
  <c r="S172" i="17"/>
  <c r="T172" i="17"/>
  <c r="P204" i="17"/>
  <c r="Q204" i="17"/>
  <c r="S204" i="17"/>
  <c r="P206" i="17"/>
  <c r="Q206" i="17"/>
  <c r="S206" i="17"/>
  <c r="T206" i="17"/>
  <c r="P84" i="17"/>
  <c r="T116" i="17"/>
  <c r="T118" i="17"/>
  <c r="S118" i="17"/>
  <c r="S116" i="17"/>
  <c r="Q152" i="17"/>
  <c r="T82" i="17"/>
  <c r="T64" i="17"/>
  <c r="S82" i="17"/>
  <c r="S84" i="17"/>
  <c r="T62" i="17"/>
  <c r="S62" i="17"/>
  <c r="S64" i="17"/>
  <c r="T30" i="17"/>
  <c r="T28" i="17"/>
  <c r="T84" i="17"/>
  <c r="S28" i="17"/>
  <c r="O149" i="17"/>
  <c r="H75" i="17"/>
  <c r="O73" i="17"/>
  <c r="R21" i="17"/>
  <c r="R25" i="17"/>
  <c r="Z114" i="17" l="1"/>
  <c r="Q28" i="17"/>
  <c r="O75" i="17"/>
  <c r="U62" i="17"/>
  <c r="K82" i="17"/>
  <c r="U84" i="17"/>
  <c r="O77" i="17"/>
  <c r="X104" i="17"/>
  <c r="X72" i="17"/>
  <c r="L104" i="17"/>
  <c r="L106" i="17"/>
  <c r="L108" i="17"/>
  <c r="L110" i="17"/>
  <c r="L112" i="17"/>
  <c r="X108" i="17"/>
  <c r="I113" i="17"/>
  <c r="X114" i="17"/>
  <c r="Z108" i="17"/>
  <c r="L109" i="17"/>
  <c r="X107" i="17"/>
  <c r="X113" i="17"/>
  <c r="X115" i="17"/>
  <c r="L81" i="17"/>
  <c r="L79" i="17"/>
  <c r="L77" i="17"/>
  <c r="L75" i="17"/>
  <c r="L73" i="17"/>
  <c r="L71" i="17"/>
  <c r="O70" i="17"/>
  <c r="R17" i="17"/>
  <c r="H114" i="17"/>
  <c r="I114" i="17" s="1"/>
  <c r="X81" i="17"/>
  <c r="L107" i="17"/>
  <c r="L111" i="17"/>
  <c r="L113" i="17"/>
  <c r="L115" i="17"/>
  <c r="L78" i="17"/>
  <c r="L76" i="17"/>
  <c r="L74" i="17"/>
  <c r="L70" i="17"/>
  <c r="O145" i="17"/>
  <c r="O200" i="17"/>
  <c r="O146" i="17"/>
  <c r="O81" i="17"/>
  <c r="O192" i="17"/>
  <c r="O139" i="17"/>
  <c r="R18" i="17"/>
  <c r="R20" i="17"/>
  <c r="R22" i="17"/>
  <c r="R24" i="17"/>
  <c r="R26" i="17"/>
  <c r="X105" i="17"/>
  <c r="X74" i="17"/>
  <c r="AA81" i="17"/>
  <c r="AA107" i="17"/>
  <c r="I106" i="17"/>
  <c r="M84" i="17"/>
  <c r="AA110" i="17"/>
  <c r="Z79" i="17"/>
  <c r="AA104" i="17"/>
  <c r="AA76" i="17"/>
  <c r="J116" i="17"/>
  <c r="O118" i="17"/>
  <c r="U118" i="17"/>
  <c r="X106" i="17"/>
  <c r="X71" i="17"/>
  <c r="H72" i="17"/>
  <c r="AA72" i="17" s="1"/>
  <c r="P28" i="17"/>
  <c r="AA73" i="17"/>
  <c r="AA71" i="17"/>
  <c r="X110" i="17"/>
  <c r="H109" i="17"/>
  <c r="AA109" i="17" s="1"/>
  <c r="Z111" i="17"/>
  <c r="AA77" i="17"/>
  <c r="Z109" i="17"/>
  <c r="Z107" i="17"/>
  <c r="Z74" i="17"/>
  <c r="X77" i="17"/>
  <c r="I80" i="17"/>
  <c r="Z113" i="17"/>
  <c r="Z115" i="17"/>
  <c r="I110" i="17"/>
  <c r="Z110" i="17"/>
  <c r="AA111" i="17"/>
  <c r="I111" i="17"/>
  <c r="Z80" i="17"/>
  <c r="N150" i="17"/>
  <c r="X73" i="17"/>
  <c r="X109" i="17"/>
  <c r="AA112" i="17"/>
  <c r="I76" i="17"/>
  <c r="M150" i="17"/>
  <c r="I104" i="17"/>
  <c r="X80" i="17"/>
  <c r="H108" i="17"/>
  <c r="AA108" i="17" s="1"/>
  <c r="AA80" i="17"/>
  <c r="G78" i="17"/>
  <c r="I78" i="17" s="1"/>
  <c r="Z75" i="17"/>
  <c r="I81" i="17"/>
  <c r="X75" i="17"/>
  <c r="AA106" i="17"/>
  <c r="X79" i="17"/>
  <c r="X103" i="17"/>
  <c r="M204" i="17"/>
  <c r="O148" i="17"/>
  <c r="Z72" i="17"/>
  <c r="L72" i="17"/>
  <c r="Z81" i="17"/>
  <c r="G71" i="17"/>
  <c r="X70" i="17"/>
  <c r="J118" i="17"/>
  <c r="L105" i="17"/>
  <c r="L114" i="17"/>
  <c r="K118" i="17"/>
  <c r="K116" i="17"/>
  <c r="N82" i="17"/>
  <c r="Q82" i="17"/>
  <c r="L80" i="17"/>
  <c r="R16" i="17"/>
  <c r="P30" i="17"/>
  <c r="G77" i="17"/>
  <c r="X76" i="17"/>
  <c r="Z73" i="17"/>
  <c r="J82" i="17"/>
  <c r="W118" i="17"/>
  <c r="AA75" i="17"/>
  <c r="R118" i="17"/>
  <c r="AA74" i="17"/>
  <c r="Z106" i="17"/>
  <c r="L103" i="17"/>
  <c r="I74" i="17"/>
  <c r="AA105" i="17"/>
  <c r="AA113" i="17"/>
  <c r="Z76" i="17"/>
  <c r="V84" i="17"/>
  <c r="O76" i="17"/>
  <c r="O194" i="17"/>
  <c r="O147" i="17"/>
  <c r="O195" i="17"/>
  <c r="O143" i="17"/>
  <c r="O74" i="17"/>
  <c r="O196" i="17"/>
  <c r="O138" i="17"/>
  <c r="AA70" i="17"/>
  <c r="X78" i="17"/>
  <c r="H79" i="17"/>
  <c r="Z104" i="17"/>
  <c r="I73" i="17"/>
  <c r="I75" i="17"/>
  <c r="I105" i="17"/>
  <c r="V118" i="17"/>
  <c r="I107" i="17"/>
  <c r="Z105" i="17"/>
  <c r="G112" i="17"/>
  <c r="X111" i="17"/>
  <c r="X112" i="17"/>
  <c r="AA78" i="17"/>
  <c r="W84" i="17"/>
  <c r="H115" i="17"/>
  <c r="X69" i="17"/>
  <c r="G70" i="17"/>
  <c r="R75" i="17"/>
  <c r="Q84" i="17"/>
  <c r="R84" i="17" s="1"/>
  <c r="N204" i="17"/>
  <c r="O193" i="17"/>
  <c r="O71" i="17"/>
  <c r="M82" i="17"/>
  <c r="R19" i="17"/>
  <c r="R23" i="17"/>
  <c r="O150" i="17" l="1"/>
  <c r="AA114" i="17"/>
  <c r="I72" i="17"/>
  <c r="I108" i="17"/>
  <c r="H84" i="17"/>
  <c r="I109" i="17"/>
  <c r="Z78" i="17"/>
  <c r="Q30" i="17"/>
  <c r="O204" i="17"/>
  <c r="X118" i="17"/>
  <c r="L118" i="17"/>
  <c r="X84" i="17"/>
  <c r="Z77" i="17"/>
  <c r="I77" i="17"/>
  <c r="Z71" i="17"/>
  <c r="I71" i="17"/>
  <c r="I70" i="17"/>
  <c r="Z70" i="17"/>
  <c r="G84" i="17"/>
  <c r="I115" i="17"/>
  <c r="AA115" i="17"/>
  <c r="Z112" i="17"/>
  <c r="I112" i="17"/>
  <c r="AA79" i="17"/>
  <c r="I79" i="17"/>
  <c r="I84" i="17" l="1"/>
  <c r="Z103" i="17" l="1"/>
  <c r="G118" i="17"/>
  <c r="I103" i="17" l="1"/>
  <c r="AA103" i="17"/>
  <c r="H118" i="17"/>
  <c r="I118" i="17" s="1"/>
  <c r="L53" i="17" l="1"/>
  <c r="L61" i="17"/>
  <c r="L60" i="17"/>
  <c r="L54" i="17"/>
  <c r="L55" i="17"/>
  <c r="L56" i="17"/>
  <c r="L57" i="17"/>
  <c r="L58" i="17"/>
  <c r="L52" i="17"/>
  <c r="L51" i="17"/>
  <c r="L59" i="17"/>
  <c r="L50" i="17" l="1"/>
  <c r="K62" i="17"/>
  <c r="J64" i="17"/>
  <c r="J62" i="17"/>
  <c r="L62" i="17" l="1"/>
  <c r="O52" i="17" l="1"/>
  <c r="O53" i="17"/>
  <c r="O51" i="17"/>
  <c r="O54" i="17"/>
  <c r="O50" i="17" l="1"/>
  <c r="M62" i="17" l="1"/>
  <c r="O59" i="17"/>
  <c r="O58" i="17"/>
  <c r="O57" i="17"/>
  <c r="O56" i="17"/>
  <c r="O60" i="17"/>
  <c r="O61" i="17" l="1"/>
  <c r="M28" i="17"/>
  <c r="L18" i="17"/>
  <c r="O55" i="17" l="1"/>
  <c r="N62" i="17"/>
  <c r="O62" i="17" s="1"/>
  <c r="L24" i="17" l="1"/>
  <c r="J28" i="17"/>
  <c r="K28" i="17" l="1"/>
  <c r="L28" i="17" s="1"/>
  <c r="M30" i="17" l="1"/>
  <c r="J30" i="17" l="1"/>
  <c r="L15" i="17" l="1"/>
  <c r="K30" i="17"/>
  <c r="G17" i="17" l="1"/>
  <c r="Z16" i="17"/>
  <c r="Z17" i="17" l="1"/>
  <c r="G18" i="17" l="1"/>
  <c r="G19" i="17" l="1"/>
  <c r="Z18" i="17"/>
  <c r="Z19" i="17" l="1"/>
  <c r="G20" i="17" l="1"/>
  <c r="G21" i="17" l="1"/>
  <c r="Z20" i="17"/>
  <c r="G22" i="17" l="1"/>
  <c r="I16" i="17" l="1"/>
  <c r="Z21" i="17"/>
  <c r="O222" i="17" l="1"/>
  <c r="X16" i="17"/>
  <c r="O16" i="17"/>
  <c r="AA16" i="17"/>
  <c r="G23" i="17" l="1"/>
  <c r="Z22" i="17"/>
  <c r="I17" i="17"/>
  <c r="O223" i="17" l="1"/>
  <c r="X17" i="17"/>
  <c r="O17" i="17"/>
  <c r="AA17" i="17"/>
  <c r="I18" i="17" l="1"/>
  <c r="G24" i="17"/>
  <c r="Z23" i="17"/>
  <c r="G25" i="17" l="1"/>
  <c r="Z24" i="17" l="1"/>
  <c r="O18" i="17"/>
  <c r="AA18" i="17"/>
  <c r="O224" i="17"/>
  <c r="X18" i="17"/>
  <c r="I19" i="17" l="1"/>
  <c r="G26" i="17" l="1"/>
  <c r="Z25" i="17"/>
  <c r="O19" i="17" l="1"/>
  <c r="G27" i="17"/>
  <c r="O225" i="17" l="1"/>
  <c r="X19" i="17"/>
  <c r="AA19" i="17"/>
  <c r="Z26" i="17"/>
  <c r="I20" i="17" l="1"/>
  <c r="O20" i="17" l="1"/>
  <c r="V30" i="17"/>
  <c r="Z27" i="17"/>
  <c r="O226" i="17" l="1"/>
  <c r="X20" i="17"/>
  <c r="I21" i="17"/>
  <c r="AA20" i="17"/>
  <c r="O21" i="17" l="1"/>
  <c r="AA21" i="17" l="1"/>
  <c r="O227" i="17"/>
  <c r="X21" i="17"/>
  <c r="I22" i="17" l="1"/>
  <c r="O22" i="17"/>
  <c r="O228" i="17" l="1"/>
  <c r="X22" i="17"/>
  <c r="AA22" i="17"/>
  <c r="O23" i="17" l="1"/>
  <c r="I23" i="17"/>
  <c r="X23" i="17" l="1"/>
  <c r="O229" i="17"/>
  <c r="AA23" i="17"/>
  <c r="I24" i="17" l="1"/>
  <c r="O24" i="17" l="1"/>
  <c r="AA24" i="17"/>
  <c r="O230" i="17" l="1"/>
  <c r="X24" i="17"/>
  <c r="I25" i="17" l="1"/>
  <c r="O231" i="17" l="1"/>
  <c r="X25" i="17"/>
  <c r="O25" i="17"/>
  <c r="AA25" i="17"/>
  <c r="I26" i="17" l="1"/>
  <c r="O26" i="17" l="1"/>
  <c r="AA26" i="17"/>
  <c r="O232" i="17"/>
  <c r="X26" i="17"/>
  <c r="I27" i="17" l="1"/>
  <c r="X27" i="17" l="1"/>
  <c r="O233" i="17"/>
  <c r="O27" i="17"/>
  <c r="N28" i="17"/>
  <c r="O28" i="17" s="1"/>
  <c r="AA27" i="17"/>
  <c r="O159" i="17" l="1"/>
  <c r="O160" i="17"/>
  <c r="O161" i="17"/>
  <c r="O162" i="17"/>
  <c r="O163" i="17"/>
  <c r="O164" i="17"/>
  <c r="O165" i="17"/>
  <c r="O166" i="17"/>
  <c r="O167" i="17"/>
  <c r="O168" i="17"/>
  <c r="O169" i="17"/>
  <c r="K69" i="17" l="1"/>
  <c r="J69" i="17"/>
  <c r="J84" i="17" l="1"/>
  <c r="Z69" i="17"/>
  <c r="K84" i="17"/>
  <c r="L69" i="17"/>
  <c r="N69" i="17"/>
  <c r="AA69" i="17" s="1"/>
  <c r="L84" i="17" l="1"/>
  <c r="N84" i="17"/>
  <c r="O84" i="17" s="1"/>
  <c r="O69" i="17"/>
  <c r="L49" i="17" l="1"/>
  <c r="K64" i="17"/>
  <c r="M206" i="17" l="1"/>
  <c r="M64" i="17" l="1"/>
  <c r="M152" i="17" l="1"/>
  <c r="O49" i="17"/>
  <c r="N64" i="17"/>
  <c r="O157" i="17" l="1"/>
  <c r="O191" i="17" l="1"/>
  <c r="N206" i="17"/>
  <c r="O137" i="17"/>
  <c r="N152" i="17"/>
  <c r="G192" i="17" l="1"/>
  <c r="G158" i="17"/>
  <c r="G138" i="17" l="1"/>
  <c r="X191" i="17" l="1"/>
  <c r="H192" i="17"/>
  <c r="I192" i="17" s="1"/>
  <c r="U221" i="17"/>
  <c r="Z191" i="17"/>
  <c r="I157" i="17"/>
  <c r="Z157" i="17"/>
  <c r="I137" i="17"/>
  <c r="X137" i="17"/>
  <c r="H138" i="17"/>
  <c r="I138" i="17" s="1"/>
  <c r="I191" i="17"/>
  <c r="X157" i="17"/>
  <c r="H158" i="17"/>
  <c r="I158" i="17" s="1"/>
  <c r="Z137" i="17" l="1"/>
  <c r="L157" i="17" l="1"/>
  <c r="AA157" i="17"/>
  <c r="L191" i="17"/>
  <c r="AA191" i="17"/>
  <c r="V221" i="17"/>
  <c r="L137" i="17" l="1"/>
  <c r="AA137" i="17"/>
  <c r="R50" i="17" l="1"/>
  <c r="R51" i="17" l="1"/>
  <c r="R52" i="17" l="1"/>
  <c r="R53" i="17" l="1"/>
  <c r="Z49" i="17" l="1"/>
  <c r="R54" i="17" l="1"/>
  <c r="G50" i="17"/>
  <c r="G51" i="17"/>
  <c r="Z50" i="17" l="1"/>
  <c r="G52" i="17"/>
  <c r="G53" i="17" l="1"/>
  <c r="Z51" i="17"/>
  <c r="R55" i="17"/>
  <c r="Z52" i="17" l="1"/>
  <c r="G54" i="17" l="1"/>
  <c r="G55" i="17"/>
  <c r="Z53" i="17"/>
  <c r="Z54" i="17" l="1"/>
  <c r="R56" i="17"/>
  <c r="Z55" i="17"/>
  <c r="G56" i="17" l="1"/>
  <c r="G57" i="17"/>
  <c r="G58" i="17" l="1"/>
  <c r="Z56" i="17"/>
  <c r="R57" i="17" l="1"/>
  <c r="G59" i="17"/>
  <c r="Z57" i="17"/>
  <c r="Z58" i="17" l="1"/>
  <c r="G60" i="17"/>
  <c r="Z59" i="17" l="1"/>
  <c r="G61" i="17"/>
  <c r="Z60" i="17" l="1"/>
  <c r="G64" i="17"/>
  <c r="V64" i="17"/>
  <c r="R58" i="17"/>
  <c r="Z61" i="17" l="1"/>
  <c r="R60" i="17" l="1"/>
  <c r="R59" i="17"/>
  <c r="R61" i="17" l="1"/>
  <c r="Q62" i="17"/>
  <c r="AA49" i="17" l="1"/>
  <c r="I49" i="17"/>
  <c r="H50" i="17" l="1"/>
  <c r="X49" i="17"/>
  <c r="H221" i="17"/>
  <c r="H51" i="17" l="1"/>
  <c r="H222" i="17"/>
  <c r="I222" i="17" s="1"/>
  <c r="X50" i="17"/>
  <c r="I221" i="17"/>
  <c r="I50" i="17"/>
  <c r="AA50" i="17"/>
  <c r="H52" i="17" l="1"/>
  <c r="H223" i="17"/>
  <c r="I223" i="17" s="1"/>
  <c r="X51" i="17"/>
  <c r="AA51" i="17"/>
  <c r="I51" i="17"/>
  <c r="X52" i="17" l="1"/>
  <c r="H53" i="17"/>
  <c r="H224" i="17"/>
  <c r="I224" i="17" s="1"/>
  <c r="I52" i="17"/>
  <c r="AA52" i="17"/>
  <c r="H54" i="17" l="1"/>
  <c r="X53" i="17"/>
  <c r="H225" i="17"/>
  <c r="I225" i="17" s="1"/>
  <c r="I53" i="17"/>
  <c r="AA53" i="17"/>
  <c r="AA54" i="17" l="1"/>
  <c r="I54" i="17"/>
  <c r="X54" i="17"/>
  <c r="H55" i="17"/>
  <c r="H226" i="17"/>
  <c r="I226" i="17" s="1"/>
  <c r="H56" i="17" l="1"/>
  <c r="H227" i="17"/>
  <c r="I227" i="17" s="1"/>
  <c r="X55" i="17"/>
  <c r="AA55" i="17"/>
  <c r="I55" i="17"/>
  <c r="X56" i="17" l="1"/>
  <c r="H57" i="17"/>
  <c r="H228" i="17"/>
  <c r="I228" i="17" s="1"/>
  <c r="I56" i="17"/>
  <c r="AA56" i="17"/>
  <c r="X57" i="17" l="1"/>
  <c r="H229" i="17"/>
  <c r="I229" i="17" s="1"/>
  <c r="H58" i="17"/>
  <c r="AA57" i="17"/>
  <c r="I57" i="17"/>
  <c r="H59" i="17" l="1"/>
  <c r="H230" i="17"/>
  <c r="I230" i="17" s="1"/>
  <c r="X58" i="17"/>
  <c r="AA58" i="17"/>
  <c r="I58" i="17"/>
  <c r="I59" i="17" l="1"/>
  <c r="AA59" i="17"/>
  <c r="H231" i="17"/>
  <c r="I231" i="17" s="1"/>
  <c r="X59" i="17"/>
  <c r="H60" i="17"/>
  <c r="H61" i="17" l="1"/>
  <c r="H232" i="17"/>
  <c r="I232" i="17" s="1"/>
  <c r="X60" i="17"/>
  <c r="AA60" i="17"/>
  <c r="I60" i="17"/>
  <c r="H233" i="17" l="1"/>
  <c r="I233" i="17" s="1"/>
  <c r="X61" i="17"/>
  <c r="W64" i="17"/>
  <c r="I61" i="17"/>
  <c r="AA61" i="17"/>
  <c r="H64" i="17"/>
  <c r="P222" i="17" l="1"/>
  <c r="P223" i="17" l="1"/>
  <c r="P224" i="17" l="1"/>
  <c r="P225" i="17" l="1"/>
  <c r="P226" i="17" l="1"/>
  <c r="P227" i="17" l="1"/>
  <c r="P228" i="17" l="1"/>
  <c r="P229" i="17" l="1"/>
  <c r="P230" i="17" l="1"/>
  <c r="P231" i="17" l="1"/>
  <c r="P232" i="17" l="1"/>
  <c r="P233" i="17" l="1"/>
  <c r="Q49" i="17" l="1"/>
  <c r="R49" i="17" l="1"/>
  <c r="Q64" i="17"/>
  <c r="O15" i="17" l="1"/>
  <c r="N30" i="17"/>
  <c r="X15" i="17" l="1"/>
  <c r="O221" i="17"/>
  <c r="X221" i="17" s="1"/>
  <c r="W30" i="17"/>
  <c r="AA15" i="17"/>
  <c r="P221" i="17" l="1"/>
  <c r="G15" i="17" l="1"/>
  <c r="Z15" i="17" l="1"/>
  <c r="G30" i="17"/>
  <c r="I15" i="17"/>
  <c r="K195" i="17" l="1"/>
  <c r="V166" i="17" l="1"/>
  <c r="G167" i="17" s="1"/>
  <c r="Z167" i="17" s="1"/>
  <c r="V147" i="17"/>
  <c r="G148" i="17" s="1"/>
  <c r="Z148" i="17" s="1"/>
  <c r="K168" i="17"/>
  <c r="L168" i="17" s="1"/>
  <c r="V162" i="17"/>
  <c r="G163" i="17"/>
  <c r="Z163" i="17" s="1"/>
  <c r="K139" i="17"/>
  <c r="L139" i="17" s="1"/>
  <c r="K163" i="17"/>
  <c r="L163" i="17" s="1"/>
  <c r="V160" i="17"/>
  <c r="X160" i="17" s="1"/>
  <c r="T231" i="17"/>
  <c r="J139" i="17"/>
  <c r="K197" i="17"/>
  <c r="L197" i="17" s="1"/>
  <c r="V142" i="17"/>
  <c r="G143" i="17" s="1"/>
  <c r="Z143" i="17" s="1"/>
  <c r="J148" i="17"/>
  <c r="K166" i="17"/>
  <c r="L166" i="17" s="1"/>
  <c r="K140" i="17"/>
  <c r="L140" i="17" s="1"/>
  <c r="X149" i="17"/>
  <c r="W149" i="17"/>
  <c r="J163" i="17"/>
  <c r="V165" i="17"/>
  <c r="G166" i="17" s="1"/>
  <c r="Z166" i="17" s="1"/>
  <c r="K199" i="17"/>
  <c r="L199" i="17" s="1"/>
  <c r="J169" i="17"/>
  <c r="K143" i="17"/>
  <c r="L143" i="17" s="1"/>
  <c r="K203" i="17"/>
  <c r="L203" i="17" s="1"/>
  <c r="K202" i="17"/>
  <c r="K201" i="17"/>
  <c r="L201" i="17" s="1"/>
  <c r="K194" i="17"/>
  <c r="L194" i="17" s="1"/>
  <c r="K144" i="17"/>
  <c r="L144" i="17" s="1"/>
  <c r="K148" i="17"/>
  <c r="L148" i="17" s="1"/>
  <c r="J160" i="17"/>
  <c r="G160" i="17"/>
  <c r="Z160" i="17" s="1"/>
  <c r="V159" i="17"/>
  <c r="G142" i="17"/>
  <c r="Z142" i="17" s="1"/>
  <c r="V141" i="17"/>
  <c r="G147" i="17"/>
  <c r="Z147" i="17" s="1"/>
  <c r="V146" i="17"/>
  <c r="K196" i="17"/>
  <c r="L196" i="17" s="1"/>
  <c r="J193" i="17"/>
  <c r="V202" i="17"/>
  <c r="G203" i="17" s="1"/>
  <c r="Z203" i="17" s="1"/>
  <c r="K146" i="17"/>
  <c r="L146" i="17" s="1"/>
  <c r="L165" i="17"/>
  <c r="K165" i="17"/>
  <c r="K167" i="17"/>
  <c r="L167" i="17" s="1"/>
  <c r="K164" i="17"/>
  <c r="V169" i="17"/>
  <c r="K160" i="17"/>
  <c r="K170" i="17" s="1"/>
  <c r="L170" i="17" s="1"/>
  <c r="K169" i="17"/>
  <c r="L169" i="17" s="1"/>
  <c r="V198" i="17"/>
  <c r="G199" i="17" s="1"/>
  <c r="Z199" i="17" s="1"/>
  <c r="K159" i="17"/>
  <c r="L159" i="17" s="1"/>
  <c r="K161" i="17"/>
  <c r="L161" i="17" s="1"/>
  <c r="J166" i="17"/>
  <c r="V143" i="17"/>
  <c r="G144" i="17"/>
  <c r="Z144" i="17" s="1"/>
  <c r="J162" i="17"/>
  <c r="G169" i="17"/>
  <c r="Z169" i="17" s="1"/>
  <c r="V168" i="17"/>
  <c r="J203" i="17"/>
  <c r="J167" i="17"/>
  <c r="J140" i="17"/>
  <c r="K200" i="17"/>
  <c r="J161" i="17"/>
  <c r="J195" i="17"/>
  <c r="L195" i="17"/>
  <c r="V161" i="17"/>
  <c r="G162" i="17" s="1"/>
  <c r="Z162" i="17" s="1"/>
  <c r="J143" i="17"/>
  <c r="J141" i="17"/>
  <c r="J168" i="17"/>
  <c r="K162" i="17"/>
  <c r="L162" i="17" s="1"/>
  <c r="L193" i="17"/>
  <c r="K193" i="17"/>
  <c r="X146" i="17"/>
  <c r="V201" i="17"/>
  <c r="G202" i="17"/>
  <c r="Z202" i="17"/>
  <c r="K149" i="17"/>
  <c r="L149" i="17"/>
  <c r="V164" i="17"/>
  <c r="G165" i="17"/>
  <c r="V199" i="17"/>
  <c r="G200" i="17"/>
  <c r="V193" i="17"/>
  <c r="G194" i="17"/>
  <c r="Z194" i="17" s="1"/>
  <c r="T230" i="17"/>
  <c r="W148" i="17"/>
  <c r="H149" i="17" s="1"/>
  <c r="X148" i="17"/>
  <c r="T223" i="17"/>
  <c r="T226" i="17"/>
  <c r="T232" i="17"/>
  <c r="J197" i="17"/>
  <c r="K145" i="17"/>
  <c r="L145" i="17"/>
  <c r="J198" i="17"/>
  <c r="J159" i="17"/>
  <c r="J170" i="17" s="1"/>
  <c r="J146" i="17"/>
  <c r="G149" i="17"/>
  <c r="Z149" i="17" s="1"/>
  <c r="V148" i="17"/>
  <c r="J196" i="17"/>
  <c r="J192" i="17"/>
  <c r="J206" i="17" s="1"/>
  <c r="V196" i="17"/>
  <c r="G197" i="17" s="1"/>
  <c r="Z197" i="17" s="1"/>
  <c r="V163" i="17"/>
  <c r="G164" i="17" s="1"/>
  <c r="Z164" i="17" s="1"/>
  <c r="K198" i="17"/>
  <c r="L198" i="17"/>
  <c r="X163" i="17"/>
  <c r="T229" i="17"/>
  <c r="V145" i="17"/>
  <c r="G146" i="17" s="1"/>
  <c r="Z146" i="17" s="1"/>
  <c r="J165" i="17"/>
  <c r="Z165" i="17" s="1"/>
  <c r="J147" i="17"/>
  <c r="J142" i="17"/>
  <c r="H161" i="17"/>
  <c r="W163" i="17"/>
  <c r="H164" i="17" s="1"/>
  <c r="W143" i="17"/>
  <c r="X143" i="17" s="1"/>
  <c r="X159" i="17"/>
  <c r="I165" i="17"/>
  <c r="W164" i="17"/>
  <c r="X164" i="17" s="1"/>
  <c r="H165" i="17"/>
  <c r="AA165" i="17" s="1"/>
  <c r="W145" i="17"/>
  <c r="X145" i="17" s="1"/>
  <c r="V194" i="17"/>
  <c r="G195" i="17" s="1"/>
  <c r="Z195" i="17" s="1"/>
  <c r="W203" i="17"/>
  <c r="X203" i="17" s="1"/>
  <c r="J164" i="17"/>
  <c r="L164" i="17" s="1"/>
  <c r="V144" i="17"/>
  <c r="G145" i="17" s="1"/>
  <c r="Z145" i="17" s="1"/>
  <c r="V197" i="17"/>
  <c r="G198" i="17" s="1"/>
  <c r="Z198" i="17" s="1"/>
  <c r="K141" i="17"/>
  <c r="L141" i="17"/>
  <c r="H166" i="17"/>
  <c r="AA166" i="17" s="1"/>
  <c r="W159" i="17"/>
  <c r="H160" i="17" s="1"/>
  <c r="X198" i="17"/>
  <c r="W197" i="17"/>
  <c r="H198" i="17" s="1"/>
  <c r="W139" i="17"/>
  <c r="X139" i="17" s="1"/>
  <c r="H140" i="17"/>
  <c r="AA140" i="17" s="1"/>
  <c r="W147" i="17"/>
  <c r="X147" i="17" s="1"/>
  <c r="T228" i="17"/>
  <c r="W138" i="17"/>
  <c r="X138" i="17" s="1"/>
  <c r="H139" i="17"/>
  <c r="W201" i="17"/>
  <c r="X201" i="17" s="1"/>
  <c r="T222" i="17"/>
  <c r="J200" i="17"/>
  <c r="L200" i="17" s="1"/>
  <c r="J145" i="17"/>
  <c r="V203" i="17"/>
  <c r="L147" i="17"/>
  <c r="K147" i="17"/>
  <c r="K142" i="17"/>
  <c r="L142" i="17" s="1"/>
  <c r="J144" i="17"/>
  <c r="J194" i="17"/>
  <c r="V200" i="17"/>
  <c r="G201" i="17"/>
  <c r="Z201" i="17" s="1"/>
  <c r="V167" i="17"/>
  <c r="G168" i="17"/>
  <c r="Z168" i="17" s="1"/>
  <c r="V195" i="17"/>
  <c r="G196" i="17"/>
  <c r="Z196" i="17" s="1"/>
  <c r="V140" i="17"/>
  <c r="G141" i="17" s="1"/>
  <c r="Z141" i="17" s="1"/>
  <c r="W169" i="17"/>
  <c r="W208" i="17" s="1"/>
  <c r="V139" i="17"/>
  <c r="G140" i="17"/>
  <c r="Z140" i="17" s="1"/>
  <c r="J172" i="17"/>
  <c r="J158" i="17"/>
  <c r="W165" i="17"/>
  <c r="X165" i="17" s="1"/>
  <c r="T225" i="17"/>
  <c r="J138" i="17"/>
  <c r="Z138" i="17" s="1"/>
  <c r="W140" i="17"/>
  <c r="X140" i="17" s="1"/>
  <c r="K158" i="17"/>
  <c r="L158" i="17" s="1"/>
  <c r="V158" i="17"/>
  <c r="V172" i="17" s="1"/>
  <c r="W141" i="17"/>
  <c r="H142" i="17" s="1"/>
  <c r="H193" i="17"/>
  <c r="J199" i="17"/>
  <c r="J202" i="17"/>
  <c r="L202" i="17" s="1"/>
  <c r="J201" i="17"/>
  <c r="J149" i="17"/>
  <c r="J152" i="17" s="1"/>
  <c r="V149" i="17"/>
  <c r="K192" i="17"/>
  <c r="AA192" i="17" s="1"/>
  <c r="W160" i="17"/>
  <c r="W168" i="17"/>
  <c r="H169" i="17" s="1"/>
  <c r="M170" i="17"/>
  <c r="M158" i="17"/>
  <c r="M172" i="17" s="1"/>
  <c r="W195" i="17"/>
  <c r="H196" i="17" s="1"/>
  <c r="H200" i="17"/>
  <c r="AA200" i="17" s="1"/>
  <c r="W146" i="17"/>
  <c r="H147" i="17" s="1"/>
  <c r="W162" i="17"/>
  <c r="H163" i="17" s="1"/>
  <c r="V138" i="17"/>
  <c r="G139" i="17" s="1"/>
  <c r="X158" i="17"/>
  <c r="W158" i="17"/>
  <c r="W172" i="17" s="1"/>
  <c r="W199" i="17"/>
  <c r="U229" i="17" s="1"/>
  <c r="X196" i="17"/>
  <c r="W167" i="17"/>
  <c r="H168" i="17" s="1"/>
  <c r="O158" i="17"/>
  <c r="N158" i="17"/>
  <c r="N170" i="17" s="1"/>
  <c r="O170" i="17" s="1"/>
  <c r="K138" i="17"/>
  <c r="K152" i="17" s="1"/>
  <c r="W198" i="17"/>
  <c r="H199" i="17" s="1"/>
  <c r="W202" i="17"/>
  <c r="X202" i="17" s="1"/>
  <c r="W142" i="17"/>
  <c r="X142" i="17" s="1"/>
  <c r="T224" i="17"/>
  <c r="T227" i="17"/>
  <c r="W144" i="17"/>
  <c r="H145" i="17" s="1"/>
  <c r="V192" i="17"/>
  <c r="G193" i="17" s="1"/>
  <c r="W194" i="17"/>
  <c r="W206" i="17" s="1"/>
  <c r="W192" i="17"/>
  <c r="U222" i="17" s="1"/>
  <c r="W196" i="17"/>
  <c r="U226" i="17" s="1"/>
  <c r="X226" i="17" s="1"/>
  <c r="W193" i="17"/>
  <c r="U223" i="17" s="1"/>
  <c r="X223" i="17" s="1"/>
  <c r="X193" i="17"/>
  <c r="W161" i="17"/>
  <c r="X161" i="17" s="1"/>
  <c r="H162" i="17"/>
  <c r="I162" i="17" s="1"/>
  <c r="W166" i="17"/>
  <c r="H167" i="17" s="1"/>
  <c r="X166" i="17"/>
  <c r="W200" i="17"/>
  <c r="H201" i="17" s="1"/>
  <c r="T233" i="17"/>
  <c r="AA145" i="17" l="1"/>
  <c r="I145" i="17"/>
  <c r="I201" i="17"/>
  <c r="AA201" i="17"/>
  <c r="V222" i="17"/>
  <c r="X222" i="17"/>
  <c r="AA199" i="17"/>
  <c r="I199" i="17"/>
  <c r="I169" i="17"/>
  <c r="AA169" i="17"/>
  <c r="G152" i="17"/>
  <c r="Z139" i="17"/>
  <c r="AA142" i="17"/>
  <c r="I142" i="17"/>
  <c r="V231" i="17"/>
  <c r="I167" i="17"/>
  <c r="AA167" i="17"/>
  <c r="I198" i="17"/>
  <c r="AA198" i="17"/>
  <c r="V226" i="17"/>
  <c r="I163" i="17"/>
  <c r="AA163" i="17"/>
  <c r="AA168" i="17"/>
  <c r="I168" i="17"/>
  <c r="I164" i="17"/>
  <c r="AA164" i="17"/>
  <c r="V223" i="17"/>
  <c r="Z193" i="17"/>
  <c r="G206" i="17"/>
  <c r="V229" i="17"/>
  <c r="X229" i="17"/>
  <c r="AA160" i="17"/>
  <c r="I160" i="17"/>
  <c r="I147" i="17"/>
  <c r="AA147" i="17"/>
  <c r="AA196" i="17"/>
  <c r="I196" i="17"/>
  <c r="V233" i="17"/>
  <c r="AA149" i="17"/>
  <c r="I149" i="17"/>
  <c r="W152" i="17"/>
  <c r="H144" i="17"/>
  <c r="H195" i="17"/>
  <c r="U232" i="17"/>
  <c r="X232" i="17" s="1"/>
  <c r="AA138" i="17"/>
  <c r="V152" i="17"/>
  <c r="I200" i="17"/>
  <c r="X168" i="17"/>
  <c r="K206" i="17"/>
  <c r="I193" i="17"/>
  <c r="X144" i="17"/>
  <c r="G159" i="17"/>
  <c r="X199" i="17"/>
  <c r="I139" i="17"/>
  <c r="H197" i="17"/>
  <c r="I140" i="17"/>
  <c r="I166" i="17"/>
  <c r="H146" i="17"/>
  <c r="AA161" i="17"/>
  <c r="U224" i="17"/>
  <c r="X224" i="17" s="1"/>
  <c r="J204" i="17"/>
  <c r="G161" i="17"/>
  <c r="Z161" i="17" s="1"/>
  <c r="H203" i="17"/>
  <c r="N172" i="17"/>
  <c r="X162" i="17"/>
  <c r="AA193" i="17"/>
  <c r="H143" i="17"/>
  <c r="H159" i="17"/>
  <c r="J150" i="17"/>
  <c r="U225" i="17"/>
  <c r="X225" i="17" s="1"/>
  <c r="U231" i="17"/>
  <c r="X231" i="17" s="1"/>
  <c r="U227" i="17"/>
  <c r="X167" i="17"/>
  <c r="L160" i="17"/>
  <c r="U228" i="17"/>
  <c r="Z200" i="17"/>
  <c r="AA162" i="17"/>
  <c r="V206" i="17"/>
  <c r="X195" i="17"/>
  <c r="U230" i="17"/>
  <c r="X169" i="17"/>
  <c r="AA139" i="17"/>
  <c r="H148" i="17"/>
  <c r="AA158" i="17"/>
  <c r="X200" i="17"/>
  <c r="X197" i="17"/>
  <c r="Z192" i="17"/>
  <c r="X194" i="17"/>
  <c r="Z158" i="17"/>
  <c r="K172" i="17"/>
  <c r="U233" i="17"/>
  <c r="X233" i="17" s="1"/>
  <c r="K204" i="17"/>
  <c r="L204" i="17" s="1"/>
  <c r="K150" i="17"/>
  <c r="L150" i="17" s="1"/>
  <c r="X141" i="17"/>
  <c r="H202" i="17"/>
  <c r="H141" i="17"/>
  <c r="H152" i="17" s="1"/>
  <c r="L138" i="17"/>
  <c r="L192" i="17"/>
  <c r="X192" i="17"/>
  <c r="H194" i="17"/>
  <c r="H206" i="17" s="1"/>
  <c r="I161" i="17" l="1"/>
  <c r="AA202" i="17"/>
  <c r="I202" i="17"/>
  <c r="I203" i="17"/>
  <c r="AA203" i="17"/>
  <c r="I197" i="17"/>
  <c r="AA197" i="17"/>
  <c r="V230" i="17"/>
  <c r="X230" i="17"/>
  <c r="I144" i="17"/>
  <c r="AA144" i="17"/>
  <c r="AA141" i="17"/>
  <c r="I141" i="17"/>
  <c r="V225" i="17"/>
  <c r="V224" i="17"/>
  <c r="V232" i="17"/>
  <c r="I159" i="17"/>
  <c r="H172" i="17"/>
  <c r="AA159" i="17"/>
  <c r="G172" i="17"/>
  <c r="Z159" i="17"/>
  <c r="I146" i="17"/>
  <c r="AA146" i="17"/>
  <c r="X227" i="17"/>
  <c r="V227" i="17"/>
  <c r="AA194" i="17"/>
  <c r="I194" i="17"/>
  <c r="I148" i="17"/>
  <c r="AA148" i="17"/>
  <c r="V228" i="17"/>
  <c r="X228" i="17"/>
  <c r="I143" i="17"/>
  <c r="AA143" i="17"/>
  <c r="AA195" i="17"/>
  <c r="I195" i="17"/>
</calcChain>
</file>

<file path=xl/sharedStrings.xml><?xml version="1.0" encoding="utf-8"?>
<sst xmlns="http://schemas.openxmlformats.org/spreadsheetml/2006/main" count="575" uniqueCount="80">
  <si>
    <t>SCHEDULE B-18</t>
  </si>
  <si>
    <t>FUEL INVENTORY BY PLANT</t>
  </si>
  <si>
    <t>Page 1 of 15</t>
  </si>
  <si>
    <t>FLORIDA PUBLIC SERVICE COMMISSION</t>
  </si>
  <si>
    <t xml:space="preserve">     EXPLANATION:</t>
  </si>
  <si>
    <t xml:space="preserve">Provide conventional fuel account balances in dollars and quantities for each fuel type </t>
  </si>
  <si>
    <t xml:space="preserve">       Type of data shown:</t>
  </si>
  <si>
    <t>for the test year, and the two preceding years Include Natural Gas even though no inventory</t>
  </si>
  <si>
    <t>xx</t>
  </si>
  <si>
    <t>Projected Test Year Ended 12/31/2025</t>
  </si>
  <si>
    <t>COMPANY: TAMPA ELECTRIC COMPANY</t>
  </si>
  <si>
    <t>is carried.  (Give Units in Barrels, Tons, or MCF)</t>
  </si>
  <si>
    <t>Projected Prior Year Ended 12/31/2024</t>
  </si>
  <si>
    <t>Historical Prior Year Ended 12/31/2023</t>
  </si>
  <si>
    <t>DOCKET No. 20240026-EI</t>
  </si>
  <si>
    <t>Plant</t>
  </si>
  <si>
    <t>Beginning Balance</t>
  </si>
  <si>
    <t>Receipts</t>
  </si>
  <si>
    <t>Fuel Issued to Generation</t>
  </si>
  <si>
    <t>Fuel Issued (Other) - Note 1</t>
  </si>
  <si>
    <t>Inventory Adjustments</t>
  </si>
  <si>
    <t>Ending Balance</t>
  </si>
  <si>
    <t>Line</t>
  </si>
  <si>
    <t>Fuel Type</t>
  </si>
  <si>
    <t>Month</t>
  </si>
  <si>
    <t>Year</t>
  </si>
  <si>
    <t>Units/</t>
  </si>
  <si>
    <t>($000) /</t>
  </si>
  <si>
    <t>$/Unit</t>
  </si>
  <si>
    <t>No.</t>
  </si>
  <si>
    <t>POLK</t>
  </si>
  <si>
    <t>DISTILLATE OIL (BBLS)</t>
  </si>
  <si>
    <t>BAL CK</t>
  </si>
  <si>
    <t>December</t>
  </si>
  <si>
    <t>2024</t>
  </si>
  <si>
    <t>January</t>
  </si>
  <si>
    <t>2025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</si>
  <si>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</si>
  <si>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</si>
  <si>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</si>
  <si>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</si>
  <si>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</si>
  <si>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</si>
  <si>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</si>
  <si>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</si>
  <si>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</si>
  <si>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</si>
  <si>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Total</t>
  </si>
  <si>
    <t>13 Month Average</t>
  </si>
  <si>
    <t>Note 1</t>
  </si>
  <si>
    <t>Fuel Issued (Other) represents the items included in inventory that are not included in burn.</t>
  </si>
  <si>
    <t>For Big Bend Distillate Oil this includes ignition.</t>
  </si>
  <si>
    <t>Supporting Schedules:</t>
  </si>
  <si>
    <t>Recap Schedules:</t>
  </si>
  <si>
    <t>Page 2 of 15</t>
  </si>
  <si>
    <t>BIG BEND</t>
  </si>
  <si>
    <t>COAL (TONS)</t>
  </si>
  <si>
    <t>Fuel Issued (Other) represents the items included in burn that are not included in inventory.</t>
  </si>
  <si>
    <t>For coal this includes ignition, fuel analysis, additives and fixed costs associated with capacity, terminal and rail charges.</t>
  </si>
  <si>
    <t xml:space="preserve">Totals may be affected due to rounding. </t>
  </si>
  <si>
    <t>Page 3 of 15</t>
  </si>
  <si>
    <t>Fuel Issued (Other)</t>
  </si>
  <si>
    <t>COAL STORAGE</t>
  </si>
  <si>
    <t>Page 4 of 15</t>
  </si>
  <si>
    <t>Ending Balance - Note 1</t>
  </si>
  <si>
    <t>BAYSIDE</t>
  </si>
  <si>
    <t>NATURAL GAS (MCF)</t>
  </si>
  <si>
    <t>Total natural gas inventory excludes 1.1M MMBtu of Tampa Electric storage that has been assigned to Emera Energy.</t>
  </si>
  <si>
    <t>Page 5 of 15</t>
  </si>
  <si>
    <t>SYSTEM TOTAL</t>
  </si>
  <si>
    <t>MFR (Polk +BB+Coal Storage)</t>
  </si>
  <si>
    <t>MFR (Polk &amp; BB)</t>
  </si>
  <si>
    <t>MFR (Polk, BB, BS)</t>
  </si>
  <si>
    <t>COAL CK</t>
  </si>
  <si>
    <t>End Inventory</t>
  </si>
  <si>
    <t>Budget</t>
  </si>
  <si>
    <t>Variance</t>
  </si>
  <si>
    <t>#2 Oil</t>
  </si>
  <si>
    <t>NG CK</t>
  </si>
  <si>
    <t>Witness: C. Aldazabal / J. Chronister / R. Latta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</si>
</sst>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2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14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" fillId="0" borderId="0"/>
  </cellStyleXfs>
  <cellXfs count="79">
    <xf numFmtId="0" fontId="0" fillId="0" borderId="0" xfId="0"/>
    <xf numFmtId="164" fontId="2" fillId="0" borderId="0" xfId="1" applyNumberFormat="1" applyFont="1" applyFill="1" applyAlignment="1" applyProtection="1">
      <alignment horizontal="right"/>
      <protection locked="0"/>
    </xf>
    <xf numFmtId="164" fontId="2" fillId="0" borderId="0" xfId="1" applyNumberFormat="1" applyFont="1" applyFill="1"/>
    <xf numFmtId="165" fontId="2" fillId="0" borderId="0" xfId="2" applyNumberFormat="1" applyFont="1" applyFill="1"/>
    <xf numFmtId="164" fontId="2" fillId="0" borderId="0" xfId="1" applyNumberFormat="1" applyFont="1" applyFill="1" applyBorder="1"/>
    <xf numFmtId="165" fontId="2" fillId="0" borderId="1" xfId="2" applyNumberFormat="1" applyFont="1" applyFill="1" applyBorder="1"/>
    <xf numFmtId="164" fontId="2" fillId="0" borderId="1" xfId="1" applyNumberFormat="1" applyFont="1" applyFill="1" applyBorder="1"/>
    <xf numFmtId="165" fontId="2" fillId="0" borderId="0" xfId="2" applyNumberFormat="1" applyFont="1" applyFill="1" applyBorder="1"/>
    <xf numFmtId="164" fontId="2" fillId="0" borderId="0" xfId="1" quotePrefix="1" applyNumberFormat="1" applyFont="1" applyFill="1" applyAlignment="1" applyProtection="1">
      <alignment horizontal="right"/>
      <protection locked="0"/>
    </xf>
    <xf numFmtId="164" fontId="2" fillId="0" borderId="0" xfId="1" applyNumberFormat="1" applyFont="1" applyFill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protection locked="0"/>
    </xf>
    <xf numFmtId="0" fontId="2" fillId="0" borderId="0" xfId="0" applyFont="1"/>
    <xf numFmtId="164" fontId="2" fillId="0" borderId="0" xfId="1" applyNumberFormat="1" applyFont="1" applyFill="1" applyBorder="1" applyAlignment="1" applyProtection="1">
      <alignment horizontal="right"/>
      <protection locked="0"/>
    </xf>
    <xf numFmtId="44" fontId="2" fillId="0" borderId="0" xfId="2" applyFont="1" applyFill="1" applyAlignment="1" applyProtection="1">
      <alignment horizontal="right"/>
      <protection locked="0"/>
    </xf>
    <xf numFmtId="165" fontId="2" fillId="0" borderId="0" xfId="2" applyNumberFormat="1" applyFont="1" applyFill="1" applyAlignment="1" applyProtection="1">
      <alignment horizontal="right"/>
      <protection locked="0"/>
    </xf>
    <xf numFmtId="164" fontId="2" fillId="0" borderId="0" xfId="1" quotePrefix="1" applyNumberFormat="1" applyFont="1" applyFill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164" fontId="2" fillId="0" borderId="1" xfId="1" quotePrefix="1" applyNumberFormat="1" applyFont="1" applyFill="1" applyBorder="1" applyAlignment="1">
      <alignment horizontal="center"/>
    </xf>
    <xf numFmtId="44" fontId="2" fillId="0" borderId="0" xfId="2" applyFont="1" applyFill="1" applyBorder="1" applyAlignment="1" applyProtection="1">
      <alignment horizontal="right"/>
      <protection locked="0"/>
    </xf>
    <xf numFmtId="164" fontId="2" fillId="0" borderId="0" xfId="1" applyNumberFormat="1" applyFont="1" applyFill="1" applyAlignment="1"/>
    <xf numFmtId="164" fontId="2" fillId="0" borderId="0" xfId="1" applyNumberFormat="1" applyFont="1" applyFill="1" applyBorder="1" applyAlignment="1" applyProtection="1">
      <protection locked="0"/>
    </xf>
    <xf numFmtId="164" fontId="2" fillId="0" borderId="3" xfId="1" applyNumberFormat="1" applyFont="1" applyFill="1" applyBorder="1" applyAlignment="1" applyProtection="1">
      <alignment horizontal="right"/>
      <protection locked="0"/>
    </xf>
    <xf numFmtId="165" fontId="2" fillId="0" borderId="3" xfId="2" applyNumberFormat="1" applyFont="1" applyFill="1" applyBorder="1" applyAlignment="1" applyProtection="1">
      <alignment horizontal="right"/>
      <protection locked="0"/>
    </xf>
    <xf numFmtId="44" fontId="2" fillId="0" borderId="3" xfId="2" applyFont="1" applyFill="1" applyBorder="1" applyAlignment="1" applyProtection="1">
      <alignment horizontal="right"/>
      <protection locked="0"/>
    </xf>
    <xf numFmtId="164" fontId="2" fillId="0" borderId="4" xfId="1" applyNumberFormat="1" applyFont="1" applyFill="1" applyBorder="1" applyAlignment="1" applyProtection="1">
      <alignment horizontal="right"/>
      <protection locked="0"/>
    </xf>
    <xf numFmtId="165" fontId="2" fillId="0" borderId="4" xfId="2" applyNumberFormat="1" applyFont="1" applyFill="1" applyBorder="1" applyAlignment="1" applyProtection="1">
      <alignment horizontal="right"/>
      <protection locked="0"/>
    </xf>
    <xf numFmtId="44" fontId="2" fillId="0" borderId="4" xfId="2" applyFont="1" applyFill="1" applyBorder="1" applyAlignment="1" applyProtection="1">
      <alignment horizontal="right"/>
      <protection locked="0"/>
    </xf>
    <xf numFmtId="165" fontId="2" fillId="0" borderId="0" xfId="2" applyNumberFormat="1" applyFont="1" applyFill="1" applyBorder="1" applyAlignment="1" applyProtection="1">
      <alignment horizontal="right"/>
      <protection locked="0"/>
    </xf>
    <xf numFmtId="164" fontId="2" fillId="0" borderId="0" xfId="1" applyNumberFormat="1" applyFont="1" applyFill="1" applyBorder="1" applyAlignment="1" applyProtection="1">
      <alignment horizontal="left"/>
      <protection locked="0"/>
    </xf>
    <xf numFmtId="164" fontId="2" fillId="0" borderId="2" xfId="1" applyNumberFormat="1" applyFont="1" applyFill="1" applyBorder="1" applyAlignment="1" applyProtection="1">
      <alignment horizontal="right"/>
      <protection locked="0"/>
    </xf>
    <xf numFmtId="164" fontId="2" fillId="0" borderId="0" xfId="1" applyNumberFormat="1" applyFont="1" applyFill="1" applyBorder="1" applyAlignme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/>
    </xf>
    <xf numFmtId="0" fontId="2" fillId="0" borderId="1" xfId="0" applyFont="1" applyBorder="1"/>
    <xf numFmtId="43" fontId="2" fillId="0" borderId="0" xfId="1" applyFont="1" applyFill="1" applyAlignment="1" applyProtection="1">
      <alignment horizontal="right"/>
      <protection locked="0"/>
    </xf>
    <xf numFmtId="164" fontId="4" fillId="0" borderId="0" xfId="1" applyNumberFormat="1" applyFont="1" applyFill="1" applyAlignment="1"/>
    <xf numFmtId="164" fontId="2" fillId="0" borderId="0" xfId="1" applyNumberFormat="1" applyFont="1" applyFill="1" applyProtection="1">
      <protection locked="0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center"/>
    </xf>
    <xf numFmtId="165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2" xfId="0" applyFont="1" applyBorder="1"/>
    <xf numFmtId="14" fontId="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0" xfId="0" applyFont="1"/>
    <xf numFmtId="37" fontId="2" fillId="0" borderId="0" xfId="0" applyNumberFormat="1" applyFont="1"/>
    <xf numFmtId="43" fontId="2" fillId="0" borderId="0" xfId="1" applyFont="1" applyFill="1" applyAlignment="1" applyProtection="1">
      <protection locked="0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Protection="1">
      <protection locked="0"/>
    </xf>
    <xf numFmtId="43" fontId="2" fillId="0" borderId="0" xfId="1" applyFont="1" applyFill="1" applyBorder="1" applyAlignment="1" applyProtection="1">
      <alignment horizontal="right"/>
      <protection locked="0"/>
    </xf>
    <xf numFmtId="165" fontId="2" fillId="0" borderId="1" xfId="0" applyNumberFormat="1" applyFont="1" applyBorder="1"/>
    <xf numFmtId="37" fontId="2" fillId="0" borderId="0" xfId="0" applyNumberFormat="1" applyFont="1" applyProtection="1">
      <protection locked="0"/>
    </xf>
    <xf numFmtId="165" fontId="2" fillId="0" borderId="0" xfId="0" applyNumberFormat="1" applyFont="1"/>
    <xf numFmtId="2" fontId="2" fillId="0" borderId="0" xfId="2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" fontId="2" fillId="0" borderId="0" xfId="1" applyNumberFormat="1" applyFont="1" applyFill="1" applyAlignment="1" applyProtection="1">
      <alignment horizontal="right"/>
      <protection locked="0"/>
    </xf>
    <xf numFmtId="2" fontId="2" fillId="0" borderId="3" xfId="2" applyNumberFormat="1" applyFont="1" applyFill="1" applyBorder="1" applyAlignment="1" applyProtection="1">
      <alignment horizontal="right"/>
      <protection locked="0"/>
    </xf>
    <xf numFmtId="43" fontId="2" fillId="0" borderId="0" xfId="0" applyNumberFormat="1" applyFont="1"/>
    <xf numFmtId="0" fontId="2" fillId="0" borderId="0" xfId="4" applyFont="1" applyAlignment="1">
      <alignment wrapText="1"/>
    </xf>
    <xf numFmtId="164" fontId="2" fillId="0" borderId="0" xfId="1" quotePrefix="1" applyNumberFormat="1" applyFont="1" applyFill="1" applyBorder="1" applyAlignment="1" applyProtection="1">
      <alignment horizontal="right"/>
      <protection locked="0"/>
    </xf>
    <xf numFmtId="164" fontId="2" fillId="0" borderId="0" xfId="1" applyNumberFormat="1" applyFont="1" applyFill="1" applyBorder="1" applyAlignment="1">
      <alignment horizontal="center"/>
    </xf>
    <xf numFmtId="37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7" fillId="0" borderId="0" xfId="0" applyFont="1"/>
    <xf numFmtId="43" fontId="2" fillId="0" borderId="4" xfId="1" applyFont="1" applyFill="1" applyBorder="1" applyAlignment="1" applyProtection="1">
      <alignment horizontal="right"/>
      <protection locked="0"/>
    </xf>
    <xf numFmtId="43" fontId="2" fillId="0" borderId="0" xfId="1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Sheet1" xfId="4" xr:uid="{00000000-0005-0000-0000-000004000000}"/>
  </cellStyles>
  <dxfs count="0"/>
  <tableStyles count="1" defaultTableStyle="TableStyleMedium2" defaultPivotStyle="PivotStyleLight16">
    <tableStyle name="Invisible" pivot="0" table="0" count="0" xr9:uid="{F5E5E4FF-D00C-4E98-ABC8-4837E51F828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EGCONTR\AA%20Rate%20Case\MFRs\MFR_C-17l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FPSC\RATE%20CASES\2024%20Rate%20Case\B-18\Final\Final\2024%20MFR_B18%20.xlsx" TargetMode="External"/><Relationship Id="rId1" Type="http://schemas.openxmlformats.org/officeDocument/2006/relationships/externalLinkPath" Target="https://tecoenergy.sharepoint.com/sites/Controller/RateCase/2024%20MFR%20Documents1/MFR%20Schedules/2025%20Test%20Year/Schedules%20B/Working%20Schedules/B-18/2024%20MFR_B18%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BUDGET\TEC%20FUEL%20FILING%20&amp;%20BUDGET\2025%20MFR\Rate%20Case\FINAL\2025%20Fuel%20Filing%20RC_1.24_Oil%20Update.xlsx" TargetMode="External"/><Relationship Id="rId1" Type="http://schemas.openxmlformats.org/officeDocument/2006/relationships/externalLinkPath" Target="https://tecoenergy.sharepoint.com/FIN_REPT/REG_ACCT/CLAUSE%20FILES/FUEL%20&amp;%20PURCHASED%20POWER%20(FAC)/FUEL/BUDGET/TEC%20FUEL%20FILING%20&amp;%20BUDGET/2025%20MFR/Rate%20Case/FINAL/2025%20Fuel%20Filing%20RC_1.24_Oil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BUDGET\TEC%20FUEL%20FILING%20&amp;%20BUDGET\2024\2024%20BUDGET\Rate%20Case\Final\2024%20Fuel%20Filing%20Budget%20RC1_25.xlsx" TargetMode="External"/><Relationship Id="rId1" Type="http://schemas.openxmlformats.org/officeDocument/2006/relationships/externalLinkPath" Target="https://tecoenergy.sharepoint.com/FIN_REPT/REG_ACCT/CLAUSE%20FILES/FUEL%20&amp;%20PURCHASED%20POWER%20(FAC)/FUEL/BUDGET/TEC%20FUEL%20FILING%20&amp;%20BUDGET/2024/2024%20BUDGET/Rate%20Case/Final/2024%20Fuel%20Filing%20Budget%20RC1_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BUDGET\TEC%20FUEL%20FILING%20&amp;%20BUDGET\2022%20MFR\2021%20Fuel%20Filing%2012&amp;0.V2.xlsx" TargetMode="External"/><Relationship Id="rId1" Type="http://schemas.openxmlformats.org/officeDocument/2006/relationships/externalLinkPath" Target="https://tecoenergy.sharepoint.com/FIN_REPT/REG_ACCT/CLAUSE%20FILES/FUEL%20&amp;%20PURCHASED%20POWER%20(FAC)/FUEL/BUDGET/TEC%20FUEL%20FILING%20&amp;%20BUDGET/2022%20MFR/2021%20Fuel%20Filing%2012&amp;0.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CLAUSE%20FILES/FUEL%20&amp;%20PURCHASED%20POWER%20(FAC)/FUEL/BUDGET/TEC%20FUEL%20FILING%20&amp;%20BUDGET/2022%20MFR/2021%20GFI%20Solid%20Fuel%20Inventory%20Estimator%200&amp;12_linked%20to%20the%2012&amp;0%20C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https://tecoenergy.sharepoint.com/FIN_REPT/REG_ACCT/CLAUSE%20FILES/FUEL%20&amp;%20PURCHASED%20POWER%20(FAC)/FUEL/BUDGET/TEC%20FUEL%20FILING%20&amp;%20BUDGET/2022%20MFR/2022%20GFI%20Solid%20Fuel%20Inventory%20Estimator%200&amp;12_linked%20to%20the%202021%20GFI%200&amp;12%20C.xlsm?D466946A" TargetMode="External"/><Relationship Id="rId1" Type="http://schemas.openxmlformats.org/officeDocument/2006/relationships/externalLinkPath" Target="file:///\\D466946A\2022%20GFI%20Solid%20Fuel%20Inventory%20Estimator%200&amp;12_linked%20to%20the%202021%20GFI%200&amp;12%20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-17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FRB-18"/>
      <sheetName val="1220"/>
      <sheetName val="1120"/>
    </sheetNames>
    <sheetDataSet>
      <sheetData sheetId="0">
        <row r="27">
          <cell r="G27">
            <v>38520.230000000003</v>
          </cell>
          <cell r="H27">
            <v>5125.1353540907194</v>
          </cell>
          <cell r="J27">
            <v>0</v>
          </cell>
          <cell r="K27">
            <v>0</v>
          </cell>
          <cell r="M27">
            <v>500</v>
          </cell>
          <cell r="N27">
            <v>66.525240000000011</v>
          </cell>
          <cell r="V27">
            <v>38020.230000000003</v>
          </cell>
          <cell r="W27">
            <v>5058.6101140907194</v>
          </cell>
        </row>
        <row r="61">
          <cell r="J61">
            <v>7500</v>
          </cell>
          <cell r="K61">
            <v>651.98751322410624</v>
          </cell>
          <cell r="M61">
            <v>498</v>
          </cell>
          <cell r="N61">
            <v>69</v>
          </cell>
          <cell r="S61">
            <v>0</v>
          </cell>
          <cell r="T61">
            <v>0</v>
          </cell>
        </row>
        <row r="233">
          <cell r="M233">
            <v>5058.6099999999997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RN"/>
      <sheetName val="MMBTU'S"/>
      <sheetName val="LIQUID PRICING"/>
      <sheetName val="GAS ADDERS"/>
      <sheetName val="NATURAL GAS PRICE BLEND"/>
      <sheetName val="ADDITIVES_ANALYSIS"/>
      <sheetName val="OIL&amp;PROPANE INVENTORY"/>
      <sheetName val="NATURAL GAS INVENTORY"/>
      <sheetName val="SYSTEM INVENTORY"/>
      <sheetName val="LIGHT OIL"/>
      <sheetName val="COAL"/>
      <sheetName val="NATURAL GAS"/>
      <sheetName val="TOTAL FUEL EXPENSE"/>
      <sheetName val="RSC PLAN."/>
      <sheetName val="EPM"/>
      <sheetName val="Cover"/>
      <sheetName val="Change in Fuel Exp"/>
      <sheetName val="Module1"/>
      <sheetName val="Module3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6">
          <cell r="C56">
            <v>5058610.1140907193</v>
          </cell>
          <cell r="D56">
            <v>4992084.874090719</v>
          </cell>
          <cell r="E56">
            <v>4925559.6340907188</v>
          </cell>
          <cell r="F56">
            <v>5373518.754513355</v>
          </cell>
          <cell r="G56">
            <v>5373518.754513355</v>
          </cell>
          <cell r="H56">
            <v>5308436.044513355</v>
          </cell>
          <cell r="I56">
            <v>5243353.334513355</v>
          </cell>
          <cell r="J56">
            <v>5178270.6245133551</v>
          </cell>
          <cell r="K56">
            <v>5113187.9145133551</v>
          </cell>
          <cell r="L56">
            <v>5304957.716407517</v>
          </cell>
          <cell r="M56">
            <v>5240519.6564075174</v>
          </cell>
          <cell r="N56">
            <v>5176081.5964075178</v>
          </cell>
        </row>
        <row r="59">
          <cell r="C59">
            <v>0</v>
          </cell>
          <cell r="D59">
            <v>0</v>
          </cell>
          <cell r="E59">
            <v>4762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2381</v>
          </cell>
          <cell r="L59">
            <v>0</v>
          </cell>
          <cell r="M59">
            <v>0</v>
          </cell>
          <cell r="N59">
            <v>0</v>
          </cell>
        </row>
        <row r="60">
          <cell r="C60">
            <v>0</v>
          </cell>
          <cell r="D60">
            <v>0</v>
          </cell>
          <cell r="E60">
            <v>513041.83042263612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256207.86189416185</v>
          </cell>
          <cell r="L60">
            <v>0</v>
          </cell>
          <cell r="M60">
            <v>0</v>
          </cell>
          <cell r="N60">
            <v>0</v>
          </cell>
        </row>
        <row r="67">
          <cell r="C67">
            <v>500</v>
          </cell>
          <cell r="D67">
            <v>500</v>
          </cell>
          <cell r="E67">
            <v>500</v>
          </cell>
          <cell r="F67">
            <v>0</v>
          </cell>
          <cell r="G67">
            <v>500</v>
          </cell>
          <cell r="H67">
            <v>500</v>
          </cell>
          <cell r="I67">
            <v>500</v>
          </cell>
          <cell r="J67">
            <v>500</v>
          </cell>
          <cell r="K67">
            <v>500</v>
          </cell>
          <cell r="L67">
            <v>500</v>
          </cell>
          <cell r="M67">
            <v>500</v>
          </cell>
          <cell r="N67">
            <v>500</v>
          </cell>
        </row>
        <row r="68">
          <cell r="C68">
            <v>66525.240000000005</v>
          </cell>
          <cell r="D68">
            <v>66525.240000000005</v>
          </cell>
          <cell r="E68">
            <v>65082.71</v>
          </cell>
          <cell r="F68">
            <v>0</v>
          </cell>
          <cell r="G68">
            <v>65082.71</v>
          </cell>
          <cell r="H68">
            <v>65082.71</v>
          </cell>
          <cell r="I68">
            <v>65082.71</v>
          </cell>
          <cell r="J68">
            <v>65082.71</v>
          </cell>
          <cell r="K68">
            <v>64438.06</v>
          </cell>
          <cell r="L68">
            <v>64438.06</v>
          </cell>
          <cell r="M68">
            <v>64438.06</v>
          </cell>
          <cell r="N68">
            <v>64438.06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5">
          <cell r="C75">
            <v>37520.230000000003</v>
          </cell>
          <cell r="D75">
            <v>37020.230000000003</v>
          </cell>
          <cell r="E75">
            <v>41282.230000000003</v>
          </cell>
          <cell r="F75">
            <v>41282.230000000003</v>
          </cell>
          <cell r="G75">
            <v>40782.230000000003</v>
          </cell>
          <cell r="H75">
            <v>40282.230000000003</v>
          </cell>
          <cell r="I75">
            <v>39782.230000000003</v>
          </cell>
          <cell r="J75">
            <v>39282.230000000003</v>
          </cell>
          <cell r="K75">
            <v>41163.230000000003</v>
          </cell>
          <cell r="L75">
            <v>40663.230000000003</v>
          </cell>
          <cell r="M75">
            <v>40163.230000000003</v>
          </cell>
          <cell r="N75">
            <v>39663.230000000003</v>
          </cell>
        </row>
        <row r="76">
          <cell r="C76">
            <v>4992084.874090719</v>
          </cell>
          <cell r="D76">
            <v>4925559.6340907188</v>
          </cell>
          <cell r="E76">
            <v>5373518.754513355</v>
          </cell>
          <cell r="F76">
            <v>5373518.754513355</v>
          </cell>
          <cell r="G76">
            <v>5308436.044513355</v>
          </cell>
          <cell r="H76">
            <v>5243353.334513355</v>
          </cell>
          <cell r="I76">
            <v>5178270.6245133551</v>
          </cell>
          <cell r="J76">
            <v>5113187.9145133551</v>
          </cell>
          <cell r="K76">
            <v>5304957.716407517</v>
          </cell>
          <cell r="L76">
            <v>5240519.6564075174</v>
          </cell>
          <cell r="M76">
            <v>5176081.5964075178</v>
          </cell>
          <cell r="N76">
            <v>5111643.5364075182</v>
          </cell>
        </row>
      </sheetData>
      <sheetData sheetId="7">
        <row r="44">
          <cell r="B44">
            <v>1748123.4567134976</v>
          </cell>
          <cell r="C44">
            <v>2109556</v>
          </cell>
          <cell r="D44">
            <v>361609</v>
          </cell>
          <cell r="E44">
            <v>0</v>
          </cell>
          <cell r="F44">
            <v>2304518</v>
          </cell>
          <cell r="G44">
            <v>3046567</v>
          </cell>
          <cell r="H44">
            <v>3237338</v>
          </cell>
          <cell r="I44">
            <v>3391998</v>
          </cell>
          <cell r="J44">
            <v>2845583</v>
          </cell>
          <cell r="K44">
            <v>2203985</v>
          </cell>
          <cell r="L44">
            <v>2315070</v>
          </cell>
          <cell r="M44">
            <v>1804028</v>
          </cell>
        </row>
        <row r="45">
          <cell r="B45">
            <v>1729491.5666203843</v>
          </cell>
          <cell r="C45">
            <v>2058573</v>
          </cell>
          <cell r="D45">
            <v>3715901</v>
          </cell>
          <cell r="E45">
            <v>4586577</v>
          </cell>
          <cell r="F45">
            <v>3713020</v>
          </cell>
          <cell r="G45">
            <v>4240410</v>
          </cell>
          <cell r="H45">
            <v>4523696</v>
          </cell>
          <cell r="I45">
            <v>4676700</v>
          </cell>
          <cell r="J45">
            <v>4333041</v>
          </cell>
          <cell r="K45">
            <v>4397003</v>
          </cell>
          <cell r="L45">
            <v>2716471</v>
          </cell>
          <cell r="M45">
            <v>1722794</v>
          </cell>
        </row>
        <row r="46">
          <cell r="B46">
            <v>4966611.2917394517</v>
          </cell>
          <cell r="C46">
            <v>3346324</v>
          </cell>
          <cell r="D46">
            <v>4182277</v>
          </cell>
          <cell r="E46">
            <v>4225775</v>
          </cell>
          <cell r="F46">
            <v>4516686</v>
          </cell>
          <cell r="G46">
            <v>4554531</v>
          </cell>
          <cell r="H46">
            <v>4627593</v>
          </cell>
          <cell r="I46">
            <v>4765516</v>
          </cell>
          <cell r="J46">
            <v>4611789</v>
          </cell>
          <cell r="K46">
            <v>4205794</v>
          </cell>
          <cell r="L46">
            <v>3840579</v>
          </cell>
          <cell r="M46">
            <v>4988378</v>
          </cell>
        </row>
        <row r="51">
          <cell r="B51">
            <v>10772648.795086145</v>
          </cell>
          <cell r="C51">
            <v>12877235.761239624</v>
          </cell>
          <cell r="D51">
            <v>2035759.4904029451</v>
          </cell>
          <cell r="E51">
            <v>0</v>
          </cell>
          <cell r="F51">
            <v>12110801.2297603</v>
          </cell>
          <cell r="G51">
            <v>15878882.700434992</v>
          </cell>
          <cell r="H51">
            <v>17304615.614592135</v>
          </cell>
          <cell r="I51">
            <v>18120014.596207958</v>
          </cell>
          <cell r="J51">
            <v>15193036.181069816</v>
          </cell>
          <cell r="K51">
            <v>12092411.623976232</v>
          </cell>
          <cell r="L51">
            <v>13194670.816008126</v>
          </cell>
          <cell r="M51">
            <v>11174088.187147833</v>
          </cell>
        </row>
        <row r="52">
          <cell r="B52">
            <v>10554520.835910629</v>
          </cell>
          <cell r="C52">
            <v>12562588.278643163</v>
          </cell>
          <cell r="D52">
            <v>21084530.093177494</v>
          </cell>
          <cell r="E52">
            <v>24768924.684644975</v>
          </cell>
          <cell r="F52">
            <v>19512742.913913239</v>
          </cell>
          <cell r="G52">
            <v>22102892.478034843</v>
          </cell>
          <cell r="H52">
            <v>24182188.637928504</v>
          </cell>
          <cell r="I52">
            <v>24983399.931003816</v>
          </cell>
          <cell r="J52">
            <v>23134506.579693761</v>
          </cell>
          <cell r="K52">
            <v>24123506.537409592</v>
          </cell>
          <cell r="L52">
            <v>15490261.307379737</v>
          </cell>
          <cell r="M52">
            <v>10683660.274210861</v>
          </cell>
        </row>
        <row r="53">
          <cell r="B53">
            <v>30593659.345242951</v>
          </cell>
          <cell r="C53">
            <v>20424322.385546874</v>
          </cell>
          <cell r="D53">
            <v>23726949.483148225</v>
          </cell>
          <cell r="E53">
            <v>22785529.635034107</v>
          </cell>
          <cell r="F53">
            <v>23736116.145806547</v>
          </cell>
          <cell r="G53">
            <v>23741933.248614118</v>
          </cell>
          <cell r="H53">
            <v>24739762.999062024</v>
          </cell>
          <cell r="I53">
            <v>25458549.96331387</v>
          </cell>
          <cell r="J53">
            <v>24622111.066205766</v>
          </cell>
          <cell r="K53">
            <v>23076153.566163603</v>
          </cell>
          <cell r="L53">
            <v>21895894.394336343</v>
          </cell>
          <cell r="M53">
            <v>30885548.99539445</v>
          </cell>
        </row>
        <row r="58">
          <cell r="B58">
            <v>1749504</v>
          </cell>
          <cell r="C58">
            <v>2109556</v>
          </cell>
          <cell r="D58">
            <v>361609</v>
          </cell>
          <cell r="E58">
            <v>0</v>
          </cell>
          <cell r="F58">
            <v>2304518</v>
          </cell>
          <cell r="G58">
            <v>3046567</v>
          </cell>
          <cell r="H58">
            <v>3237338</v>
          </cell>
          <cell r="I58">
            <v>3391998</v>
          </cell>
          <cell r="J58">
            <v>2845583</v>
          </cell>
          <cell r="K58">
            <v>2203985</v>
          </cell>
          <cell r="L58">
            <v>2315070</v>
          </cell>
          <cell r="M58">
            <v>1804028</v>
          </cell>
        </row>
        <row r="59">
          <cell r="B59">
            <v>1688842</v>
          </cell>
          <cell r="C59">
            <v>2058573</v>
          </cell>
          <cell r="D59">
            <v>3715901</v>
          </cell>
          <cell r="E59">
            <v>4586577</v>
          </cell>
          <cell r="F59">
            <v>3713020</v>
          </cell>
          <cell r="G59">
            <v>4240410</v>
          </cell>
          <cell r="H59">
            <v>4523696</v>
          </cell>
          <cell r="I59">
            <v>4676700</v>
          </cell>
          <cell r="J59">
            <v>4333041</v>
          </cell>
          <cell r="K59">
            <v>4397003</v>
          </cell>
          <cell r="L59">
            <v>2716471</v>
          </cell>
          <cell r="M59">
            <v>1722794</v>
          </cell>
        </row>
        <row r="60">
          <cell r="B60">
            <v>4947396</v>
          </cell>
          <cell r="C60">
            <v>3346324</v>
          </cell>
          <cell r="D60">
            <v>4182277</v>
          </cell>
          <cell r="E60">
            <v>4225775</v>
          </cell>
          <cell r="F60">
            <v>4516686</v>
          </cell>
          <cell r="G60">
            <v>4554531</v>
          </cell>
          <cell r="H60">
            <v>4627593</v>
          </cell>
          <cell r="I60">
            <v>4765516</v>
          </cell>
          <cell r="J60">
            <v>4611789</v>
          </cell>
          <cell r="K60">
            <v>4205794</v>
          </cell>
          <cell r="L60">
            <v>3840579</v>
          </cell>
          <cell r="M60">
            <v>4988378</v>
          </cell>
        </row>
        <row r="65">
          <cell r="B65">
            <v>10817607</v>
          </cell>
          <cell r="C65">
            <v>12882205</v>
          </cell>
          <cell r="D65">
            <v>2054928</v>
          </cell>
          <cell r="E65">
            <v>0</v>
          </cell>
          <cell r="F65">
            <v>12112208</v>
          </cell>
          <cell r="G65">
            <v>15872952</v>
          </cell>
          <cell r="H65">
            <v>17298776</v>
          </cell>
          <cell r="I65">
            <v>18118203</v>
          </cell>
          <cell r="J65">
            <v>15195202</v>
          </cell>
          <cell r="K65">
            <v>12088920</v>
          </cell>
          <cell r="L65">
            <v>13178832</v>
          </cell>
          <cell r="M65">
            <v>11156205</v>
          </cell>
        </row>
        <row r="66">
          <cell r="B66">
            <v>10442520</v>
          </cell>
          <cell r="C66">
            <v>12570872</v>
          </cell>
          <cell r="D66">
            <v>21116484</v>
          </cell>
          <cell r="E66">
            <v>24806716</v>
          </cell>
          <cell r="F66">
            <v>19515088</v>
          </cell>
          <cell r="G66">
            <v>22093006</v>
          </cell>
          <cell r="H66">
            <v>24172454</v>
          </cell>
          <cell r="I66">
            <v>24980380</v>
          </cell>
          <cell r="J66">
            <v>23138117</v>
          </cell>
          <cell r="K66">
            <v>24117686</v>
          </cell>
          <cell r="L66">
            <v>15463858</v>
          </cell>
          <cell r="M66">
            <v>10653849</v>
          </cell>
        </row>
        <row r="67">
          <cell r="B67">
            <v>30590949</v>
          </cell>
          <cell r="C67">
            <v>20434647</v>
          </cell>
          <cell r="D67">
            <v>23766776</v>
          </cell>
          <cell r="E67">
            <v>22855302</v>
          </cell>
          <cell r="F67">
            <v>23739039</v>
          </cell>
          <cell r="G67">
            <v>23729611</v>
          </cell>
          <cell r="H67">
            <v>24727630</v>
          </cell>
          <cell r="I67">
            <v>25454786</v>
          </cell>
          <cell r="J67">
            <v>24626611</v>
          </cell>
          <cell r="K67">
            <v>23068899</v>
          </cell>
          <cell r="L67">
            <v>21862986</v>
          </cell>
          <cell r="M67">
            <v>30848393</v>
          </cell>
        </row>
        <row r="78">
          <cell r="B78">
            <v>61531.18437785971</v>
          </cell>
          <cell r="C78">
            <v>61531.18437785971</v>
          </cell>
          <cell r="D78">
            <v>61531.18437785971</v>
          </cell>
          <cell r="E78">
            <v>61531.18437785971</v>
          </cell>
          <cell r="F78">
            <v>61531.18437785971</v>
          </cell>
          <cell r="G78">
            <v>61531.18437785971</v>
          </cell>
          <cell r="H78">
            <v>61531.18437785971</v>
          </cell>
          <cell r="I78">
            <v>61531.18437785971</v>
          </cell>
          <cell r="J78">
            <v>61531.18437785971</v>
          </cell>
          <cell r="K78">
            <v>61531.18437785971</v>
          </cell>
          <cell r="L78">
            <v>61531.18437785971</v>
          </cell>
          <cell r="M78">
            <v>61531.18437785971</v>
          </cell>
        </row>
        <row r="79">
          <cell r="B79">
            <v>102572.48860864546</v>
          </cell>
          <cell r="C79">
            <v>102572.48860864546</v>
          </cell>
          <cell r="D79">
            <v>102572.48860864546</v>
          </cell>
          <cell r="E79">
            <v>102572.48860864546</v>
          </cell>
          <cell r="F79">
            <v>102572.48860864546</v>
          </cell>
          <cell r="G79">
            <v>102572.48860864546</v>
          </cell>
          <cell r="H79">
            <v>102572.48860864546</v>
          </cell>
          <cell r="I79">
            <v>102572.48860864546</v>
          </cell>
          <cell r="J79">
            <v>102572.48860864546</v>
          </cell>
          <cell r="K79">
            <v>102572.48860864546</v>
          </cell>
          <cell r="L79">
            <v>102572.48860864546</v>
          </cell>
          <cell r="M79">
            <v>102572.48860864546</v>
          </cell>
        </row>
        <row r="80">
          <cell r="B80">
            <v>127843.67710628365</v>
          </cell>
          <cell r="C80">
            <v>127843.67710628365</v>
          </cell>
          <cell r="D80">
            <v>127843.67710628365</v>
          </cell>
          <cell r="E80">
            <v>127843.67710628365</v>
          </cell>
          <cell r="F80">
            <v>127843.67710628365</v>
          </cell>
          <cell r="G80">
            <v>127843.67710628365</v>
          </cell>
          <cell r="H80">
            <v>127843.67710628365</v>
          </cell>
          <cell r="I80">
            <v>127843.67710628365</v>
          </cell>
          <cell r="J80">
            <v>127843.67710628365</v>
          </cell>
          <cell r="K80">
            <v>127843.67710628365</v>
          </cell>
          <cell r="L80">
            <v>127843.67710628365</v>
          </cell>
          <cell r="M80">
            <v>127843.67710628365</v>
          </cell>
        </row>
        <row r="84">
          <cell r="B84">
            <v>228868.36115512083</v>
          </cell>
          <cell r="C84">
            <v>223899.1223947439</v>
          </cell>
          <cell r="D84">
            <v>204730.61279768901</v>
          </cell>
          <cell r="E84">
            <v>182060.35857519539</v>
          </cell>
          <cell r="F84">
            <v>180653.58833549602</v>
          </cell>
          <cell r="G84">
            <v>186584.28877048765</v>
          </cell>
          <cell r="H84">
            <v>192423.90336262106</v>
          </cell>
          <cell r="I84">
            <v>194235.49957057927</v>
          </cell>
          <cell r="J84">
            <v>192069.6806403946</v>
          </cell>
          <cell r="K84">
            <v>195561.30461662688</v>
          </cell>
          <cell r="L84">
            <v>211400.12062475301</v>
          </cell>
          <cell r="M84">
            <v>229283.30777258612</v>
          </cell>
        </row>
        <row r="85">
          <cell r="B85">
            <v>381523.57385647902</v>
          </cell>
          <cell r="C85">
            <v>373239.85249964119</v>
          </cell>
          <cell r="D85">
            <v>341285.94567713427</v>
          </cell>
          <cell r="E85">
            <v>303494.63032211026</v>
          </cell>
          <cell r="F85">
            <v>301149.5442353476</v>
          </cell>
          <cell r="G85">
            <v>311036.02227018873</v>
          </cell>
          <cell r="H85">
            <v>320770.66019869264</v>
          </cell>
          <cell r="I85">
            <v>323790.5912025093</v>
          </cell>
          <cell r="J85">
            <v>320180.17089627043</v>
          </cell>
          <cell r="K85">
            <v>326000.70830586116</v>
          </cell>
          <cell r="L85">
            <v>352404.01568559895</v>
          </cell>
          <cell r="M85">
            <v>382215.28989645938</v>
          </cell>
        </row>
        <row r="86">
          <cell r="B86">
            <v>475521.04122812493</v>
          </cell>
          <cell r="C86">
            <v>465196.42677499814</v>
          </cell>
          <cell r="D86">
            <v>425369.90992322186</v>
          </cell>
          <cell r="E86">
            <v>378267.7991798328</v>
          </cell>
          <cell r="F86">
            <v>375344.94498638145</v>
          </cell>
          <cell r="G86">
            <v>387667.19360050018</v>
          </cell>
          <cell r="H86">
            <v>399800.19266252493</v>
          </cell>
          <cell r="I86">
            <v>403564.15597639396</v>
          </cell>
          <cell r="J86">
            <v>399064.22218215949</v>
          </cell>
          <cell r="K86">
            <v>406318.78834576183</v>
          </cell>
          <cell r="L86">
            <v>439227.18268210284</v>
          </cell>
          <cell r="M86">
            <v>476383.17807655304</v>
          </cell>
        </row>
      </sheetData>
      <sheetData sheetId="8">
        <row r="6">
          <cell r="D6">
            <v>30583.989874810879</v>
          </cell>
          <cell r="E6">
            <v>31809.054119236785</v>
          </cell>
          <cell r="F6">
            <v>31809.054119236785</v>
          </cell>
          <cell r="G6">
            <v>31809.054119236785</v>
          </cell>
          <cell r="H6">
            <v>31809.054119236785</v>
          </cell>
          <cell r="I6">
            <v>31809.054119236785</v>
          </cell>
          <cell r="J6">
            <v>29416.235835932643</v>
          </cell>
          <cell r="K6">
            <v>29402.861397309771</v>
          </cell>
          <cell r="L6">
            <v>30677.552772309769</v>
          </cell>
          <cell r="M6">
            <v>30677.552772309769</v>
          </cell>
          <cell r="N6">
            <v>29844.198655346579</v>
          </cell>
          <cell r="O6">
            <v>29844.198655346579</v>
          </cell>
        </row>
        <row r="7">
          <cell r="D7">
            <v>4992.085</v>
          </cell>
          <cell r="E7">
            <v>4925.5600000000004</v>
          </cell>
          <cell r="F7">
            <v>5373.5190000000002</v>
          </cell>
          <cell r="G7">
            <v>5373.5190000000002</v>
          </cell>
          <cell r="H7">
            <v>5308.4359999999997</v>
          </cell>
          <cell r="I7">
            <v>5243.3530000000001</v>
          </cell>
          <cell r="J7">
            <v>5178.2709999999997</v>
          </cell>
          <cell r="K7">
            <v>5113.1880000000001</v>
          </cell>
          <cell r="L7">
            <v>5304.9579999999996</v>
          </cell>
          <cell r="M7">
            <v>5240.5200000000004</v>
          </cell>
          <cell r="N7">
            <v>5176.0820000000003</v>
          </cell>
          <cell r="O7">
            <v>5111.6440000000002</v>
          </cell>
        </row>
        <row r="8">
          <cell r="D8">
            <v>1085.913</v>
          </cell>
          <cell r="E8">
            <v>1062.335</v>
          </cell>
          <cell r="F8">
            <v>971.38699999999994</v>
          </cell>
          <cell r="G8">
            <v>863.82299999999998</v>
          </cell>
          <cell r="H8">
            <v>857.149</v>
          </cell>
          <cell r="I8">
            <v>885.28700000000003</v>
          </cell>
          <cell r="J8">
            <v>912.995</v>
          </cell>
          <cell r="K8">
            <v>921.59</v>
          </cell>
          <cell r="L8">
            <v>911.31399999999996</v>
          </cell>
          <cell r="M8">
            <v>927.88099999999997</v>
          </cell>
          <cell r="N8">
            <v>1003.0309999999999</v>
          </cell>
          <cell r="O8">
            <v>1087.8810000000001</v>
          </cell>
        </row>
      </sheetData>
      <sheetData sheetId="9" refreshError="1"/>
      <sheetData sheetId="10">
        <row r="4">
          <cell r="B4">
            <v>14500</v>
          </cell>
          <cell r="C4">
            <v>14500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29000</v>
          </cell>
          <cell r="I4">
            <v>43500</v>
          </cell>
          <cell r="J4">
            <v>14500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8">
          <cell r="B8">
            <v>1274691</v>
          </cell>
          <cell r="C8">
            <v>1274691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2549383</v>
          </cell>
          <cell r="I8">
            <v>3824074</v>
          </cell>
          <cell r="J8">
            <v>1274691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5">
          <cell r="F15">
            <v>0</v>
          </cell>
          <cell r="G15">
            <v>0</v>
          </cell>
          <cell r="J15">
            <v>0</v>
          </cell>
          <cell r="K15">
            <v>0</v>
          </cell>
        </row>
        <row r="16">
          <cell r="F16">
            <v>0</v>
          </cell>
          <cell r="G16">
            <v>0</v>
          </cell>
          <cell r="J16">
            <v>0</v>
          </cell>
          <cell r="K16">
            <v>0</v>
          </cell>
        </row>
        <row r="17">
          <cell r="F17">
            <v>0</v>
          </cell>
          <cell r="G17">
            <v>0</v>
          </cell>
          <cell r="J17">
            <v>0</v>
          </cell>
          <cell r="K17">
            <v>0</v>
          </cell>
        </row>
        <row r="18">
          <cell r="F18">
            <v>0</v>
          </cell>
          <cell r="G18">
            <v>0</v>
          </cell>
          <cell r="J18">
            <v>0</v>
          </cell>
          <cell r="K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M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>
            <v>0</v>
          </cell>
          <cell r="M28">
            <v>0</v>
          </cell>
        </row>
        <row r="29">
          <cell r="B29">
            <v>0</v>
          </cell>
          <cell r="C29">
            <v>49627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4942201</v>
          </cell>
          <cell r="J29">
            <v>0</v>
          </cell>
          <cell r="K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0</v>
          </cell>
        </row>
        <row r="32">
          <cell r="B32">
            <v>54451</v>
          </cell>
          <cell r="C32">
            <v>32581</v>
          </cell>
          <cell r="D32">
            <v>23155</v>
          </cell>
          <cell r="E32">
            <v>17311</v>
          </cell>
          <cell r="F32">
            <v>0</v>
          </cell>
          <cell r="G32">
            <v>0</v>
          </cell>
          <cell r="H32">
            <v>18916</v>
          </cell>
          <cell r="I32">
            <v>0</v>
          </cell>
          <cell r="J32">
            <v>0</v>
          </cell>
          <cell r="K32">
            <v>0</v>
          </cell>
          <cell r="M32">
            <v>53715</v>
          </cell>
        </row>
        <row r="33">
          <cell r="B33">
            <v>0</v>
          </cell>
          <cell r="C33">
            <v>50000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50000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5">
          <cell r="B45">
            <v>324075.21498192742</v>
          </cell>
          <cell r="C45">
            <v>338216.06269780273</v>
          </cell>
          <cell r="D45">
            <v>338216.06269780273</v>
          </cell>
          <cell r="E45">
            <v>338216.06269780273</v>
          </cell>
          <cell r="F45">
            <v>338216.06269780273</v>
          </cell>
          <cell r="G45">
            <v>338216.06269780273</v>
          </cell>
          <cell r="H45">
            <v>331359.39874462131</v>
          </cell>
          <cell r="I45">
            <v>331583.51703837526</v>
          </cell>
          <cell r="J45">
            <v>346083.51703837526</v>
          </cell>
          <cell r="K45">
            <v>346083.51703837526</v>
          </cell>
          <cell r="L45">
            <v>336682.17596583674</v>
          </cell>
          <cell r="M45">
            <v>336682.17596583674</v>
          </cell>
        </row>
        <row r="49">
          <cell r="B49">
            <v>30583989.874810878</v>
          </cell>
          <cell r="C49">
            <v>31809054.119236786</v>
          </cell>
          <cell r="D49">
            <v>31809054.119236786</v>
          </cell>
          <cell r="E49">
            <v>31809054.119236786</v>
          </cell>
          <cell r="F49">
            <v>31809054.119236786</v>
          </cell>
          <cell r="G49">
            <v>31809054.119236786</v>
          </cell>
          <cell r="H49">
            <v>29416235.835932642</v>
          </cell>
          <cell r="I49">
            <v>29402861.397309773</v>
          </cell>
          <cell r="J49">
            <v>30677552.772309769</v>
          </cell>
          <cell r="K49">
            <v>30677552.772309769</v>
          </cell>
          <cell r="L49">
            <v>29844198.65534658</v>
          </cell>
          <cell r="M49">
            <v>29844198.65534658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RN"/>
      <sheetName val="MMBTU'S"/>
      <sheetName val="LIQUID PRICING"/>
      <sheetName val="GAS ADDERS"/>
      <sheetName val="NATURAL GAS PRICE BLEND"/>
      <sheetName val="ADDITIVES_ANALYSIS"/>
      <sheetName val="OIL&amp;PROPANE INVENTORY"/>
      <sheetName val="NATURAL GAS INVENTORY"/>
      <sheetName val="SYSTEM INVENTORY"/>
      <sheetName val="LIGHT OIL"/>
      <sheetName val="COAL"/>
      <sheetName val="NATURAL GAS"/>
      <sheetName val="TOTAL FUEL EXPENSE"/>
      <sheetName val="EPM"/>
      <sheetName val="RSC PLAN."/>
      <sheetName val="Cover"/>
      <sheetName val="Change in Fuel Exp"/>
      <sheetName val="Module1"/>
      <sheetName val="Module3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C56">
            <v>5073996.9104277529</v>
          </cell>
        </row>
      </sheetData>
      <sheetData sheetId="7">
        <row r="34">
          <cell r="B34">
            <v>169635.95617444886</v>
          </cell>
        </row>
        <row r="44">
          <cell r="M44">
            <v>1639441</v>
          </cell>
        </row>
        <row r="45">
          <cell r="M45">
            <v>1623358</v>
          </cell>
        </row>
        <row r="46">
          <cell r="M46">
            <v>4530461</v>
          </cell>
        </row>
        <row r="51">
          <cell r="M51">
            <v>9950215.4742841963</v>
          </cell>
        </row>
        <row r="52">
          <cell r="M52">
            <v>9852437.0803712755</v>
          </cell>
        </row>
        <row r="53">
          <cell r="M53">
            <v>27467359.44534453</v>
          </cell>
        </row>
        <row r="58">
          <cell r="M58">
            <v>1639441</v>
          </cell>
        </row>
        <row r="59">
          <cell r="M59">
            <v>1623358</v>
          </cell>
        </row>
        <row r="60">
          <cell r="M60">
            <v>4530461</v>
          </cell>
        </row>
        <row r="65">
          <cell r="M65">
            <v>9922005</v>
          </cell>
        </row>
        <row r="66">
          <cell r="M66">
            <v>9824670</v>
          </cell>
        </row>
        <row r="67">
          <cell r="M67">
            <v>27418649</v>
          </cell>
        </row>
        <row r="78">
          <cell r="L78">
            <v>62911.727664362093</v>
          </cell>
          <cell r="M78">
            <v>62911.727664362093</v>
          </cell>
        </row>
        <row r="79">
          <cell r="L79">
            <v>61922.92198826118</v>
          </cell>
          <cell r="M79">
            <v>61922.92198826118</v>
          </cell>
        </row>
        <row r="80">
          <cell r="L80">
            <v>108628.38536683196</v>
          </cell>
          <cell r="M80">
            <v>108628.38536683196</v>
          </cell>
        </row>
        <row r="84">
          <cell r="L84">
            <v>245616.09178477834</v>
          </cell>
          <cell r="M84">
            <v>273826.56606897456</v>
          </cell>
        </row>
        <row r="85">
          <cell r="L85">
            <v>241755.65757457484</v>
          </cell>
          <cell r="M85">
            <v>269522.73794585018</v>
          </cell>
        </row>
        <row r="86">
          <cell r="L86">
            <v>424100.25064064673</v>
          </cell>
          <cell r="M86">
            <v>472810.6959851752</v>
          </cell>
        </row>
      </sheetData>
      <sheetData sheetId="8">
        <row r="6">
          <cell r="D6">
            <v>30299.169272056788</v>
          </cell>
          <cell r="O6">
            <v>29309.29849981088</v>
          </cell>
        </row>
        <row r="8">
          <cell r="O8">
            <v>1016.1609999999999</v>
          </cell>
        </row>
      </sheetData>
      <sheetData sheetId="9"/>
      <sheetData sheetId="10">
        <row r="4">
          <cell r="B4">
            <v>14500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44261</v>
          </cell>
        </row>
        <row r="33">
          <cell r="M33">
            <v>0</v>
          </cell>
        </row>
        <row r="45">
          <cell r="L45">
            <v>302573.20814719563</v>
          </cell>
          <cell r="M45">
            <v>309575.21498192742</v>
          </cell>
        </row>
        <row r="49">
          <cell r="L49">
            <v>28726122.969439141</v>
          </cell>
          <cell r="M49">
            <v>29309298.499810882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RN"/>
      <sheetName val="MMBTU'S"/>
      <sheetName val="LIQUID PRICING"/>
      <sheetName val="GAS ADDERS"/>
      <sheetName val="NATURAL GAS PRICE BLEND"/>
      <sheetName val="ADDITIVES_ANALYSIS"/>
      <sheetName val="OIL&amp;PROPANE INVENTORY"/>
      <sheetName val="NATURAL GAS INVENTORY"/>
      <sheetName val="SYSTEM INVENTORY"/>
      <sheetName val="Sheet1"/>
      <sheetName val="LIGHT OIL"/>
      <sheetName val="COAL"/>
      <sheetName val="NATURAL GAS"/>
      <sheetName val="TOTAL FUEL EXPENSE"/>
      <sheetName val="RSC PLAN."/>
      <sheetName val="EPM"/>
      <sheetName val="Module1"/>
      <sheetName val="Module3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M5">
            <v>0</v>
          </cell>
        </row>
        <row r="9">
          <cell r="M9">
            <v>0</v>
          </cell>
        </row>
        <row r="19">
          <cell r="M19">
            <v>0</v>
          </cell>
        </row>
        <row r="34">
          <cell r="M34">
            <v>0</v>
          </cell>
        </row>
        <row r="37">
          <cell r="M37">
            <v>0</v>
          </cell>
        </row>
        <row r="38">
          <cell r="M3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al Status"/>
      <sheetName val="Contract Inputs"/>
      <sheetName val="Consumption Inputs"/>
      <sheetName val="PAR MQ"/>
      <sheetName val="Coal Type and Transport"/>
      <sheetName val="System Inventory"/>
      <sheetName val="Inventory STD"/>
      <sheetName val="STDL 123"/>
      <sheetName val="Inventory STDL"/>
      <sheetName val="Inventory BB Premium"/>
      <sheetName val="Inventory BB LS"/>
      <sheetName val="Inventory Plk PC"/>
      <sheetName val="Inventory Plk LS"/>
      <sheetName val="Inventory Polk Blend"/>
      <sheetName val="Inventory Plk STDL"/>
      <sheetName val="Summary of Promod to Charge Out"/>
      <sheetName val="PAR MC"/>
      <sheetName val="Dispatch Tport Rate"/>
      <sheetName val="Non-Dispatch Tport Rate"/>
      <sheetName val="Delivery Costs"/>
      <sheetName val="Energy Ventures"/>
      <sheetName val="Commodity Price"/>
      <sheetName val="Coal Contracts"/>
      <sheetName val="Tables"/>
      <sheetName val="Sheet1"/>
      <sheetName val="Inv graph"/>
    </sheetNames>
    <sheetDataSet>
      <sheetData sheetId="0">
        <row r="8">
          <cell r="P8" t="str">
            <v>Abbreviation</v>
          </cell>
        </row>
      </sheetData>
      <sheetData sheetId="1">
        <row r="3">
          <cell r="E3">
            <v>44197</v>
          </cell>
        </row>
      </sheetData>
      <sheetData sheetId="2">
        <row r="2">
          <cell r="B2" t="str">
            <v>TONNAGE</v>
          </cell>
        </row>
      </sheetData>
      <sheetData sheetId="3">
        <row r="155">
          <cell r="E155">
            <v>44197</v>
          </cell>
        </row>
      </sheetData>
      <sheetData sheetId="4">
        <row r="1">
          <cell r="A1" t="str">
            <v>Planning and Risk OUTPUT</v>
          </cell>
        </row>
      </sheetData>
      <sheetData sheetId="5">
        <row r="1131">
          <cell r="G1131">
            <v>0</v>
          </cell>
        </row>
      </sheetData>
      <sheetData sheetId="6">
        <row r="13">
          <cell r="M13">
            <v>0</v>
          </cell>
        </row>
        <row r="15">
          <cell r="M15">
            <v>0</v>
          </cell>
        </row>
        <row r="34">
          <cell r="M34">
            <v>0</v>
          </cell>
        </row>
        <row r="36">
          <cell r="M36">
            <v>0</v>
          </cell>
        </row>
        <row r="128">
          <cell r="M128">
            <v>0</v>
          </cell>
        </row>
        <row r="130">
          <cell r="M130">
            <v>0</v>
          </cell>
        </row>
      </sheetData>
      <sheetData sheetId="7">
        <row r="68">
          <cell r="M68">
            <v>0</v>
          </cell>
        </row>
      </sheetData>
      <sheetData sheetId="8"/>
      <sheetData sheetId="9">
        <row r="68">
          <cell r="M68">
            <v>0</v>
          </cell>
        </row>
      </sheetData>
      <sheetData sheetId="10">
        <row r="68">
          <cell r="M68">
            <v>0</v>
          </cell>
        </row>
      </sheetData>
      <sheetData sheetId="11">
        <row r="68">
          <cell r="M68">
            <v>0</v>
          </cell>
        </row>
      </sheetData>
      <sheetData sheetId="12">
        <row r="68">
          <cell r="M68">
            <v>0</v>
          </cell>
        </row>
      </sheetData>
      <sheetData sheetId="13">
        <row r="68">
          <cell r="M68">
            <v>0</v>
          </cell>
        </row>
      </sheetData>
      <sheetData sheetId="14">
        <row r="43">
          <cell r="M43">
            <v>0</v>
          </cell>
        </row>
      </sheetData>
      <sheetData sheetId="15" refreshError="1"/>
      <sheetData sheetId="16" refreshError="1"/>
      <sheetData sheetId="17" refreshError="1"/>
      <sheetData sheetId="18">
        <row r="9">
          <cell r="F9">
            <v>43466</v>
          </cell>
        </row>
      </sheetData>
      <sheetData sheetId="19">
        <row r="9">
          <cell r="H9">
            <v>0</v>
          </cell>
        </row>
      </sheetData>
      <sheetData sheetId="20">
        <row r="200">
          <cell r="B200">
            <v>4995.7853662688158</v>
          </cell>
        </row>
      </sheetData>
      <sheetData sheetId="21">
        <row r="88">
          <cell r="B88" t="str">
            <v>Standard</v>
          </cell>
        </row>
      </sheetData>
      <sheetData sheetId="22">
        <row r="2">
          <cell r="B2" t="str">
            <v>STD</v>
          </cell>
        </row>
      </sheetData>
      <sheetData sheetId="23" refreshError="1"/>
      <sheetData sheetId="24">
        <row r="6">
          <cell r="D6">
            <v>5</v>
          </cell>
        </row>
      </sheetData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al Status"/>
      <sheetName val="Contract Inputs"/>
      <sheetName val="Consumption Inputs"/>
      <sheetName val="PAR MQ"/>
      <sheetName val="Coal Type and Transport"/>
      <sheetName val="System Inventory"/>
      <sheetName val="Inventory STD"/>
      <sheetName val="STDL 123"/>
      <sheetName val="Inventory STDL"/>
      <sheetName val="Inventory BB Premium"/>
      <sheetName val="Inventory BB LS"/>
      <sheetName val="Inventory Plk PC"/>
      <sheetName val="Inventory Plk LS"/>
      <sheetName val="Inventory Polk Blend"/>
      <sheetName val="Inventory Plk STDL"/>
      <sheetName val="Summary of Promod to Charge Out"/>
      <sheetName val="PAR MC"/>
      <sheetName val="Dispatch Tport Rate"/>
      <sheetName val="Non-Dispatch Tport Rate"/>
      <sheetName val="Delivery Costs"/>
      <sheetName val="Energy Ventures"/>
      <sheetName val="Commodity Price"/>
      <sheetName val="Coal Contracts"/>
      <sheetName val="Tables"/>
      <sheetName val="Sheet1"/>
      <sheetName val="Inv graph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B237"/>
  <sheetViews>
    <sheetView tabSelected="1" view="pageBreakPreview" zoomScale="90" zoomScaleNormal="90" zoomScaleSheetLayoutView="90" workbookViewId="0">
      <selection activeCell="V182" sqref="V182"/>
    </sheetView>
  </sheetViews>
  <sheetFormatPr defaultColWidth="8.90625" defaultRowHeight="14.1" customHeight="1" x14ac:dyDescent="0.2"/>
  <cols>
    <col min="1" max="1" width="5.6328125" style="11" customWidth="1"/>
    <col min="2" max="2" width="4.90625" style="11" customWidth="1"/>
    <col min="3" max="6" width="7" style="11" customWidth="1"/>
    <col min="7" max="7" width="10.08984375" style="11" customWidth="1"/>
    <col min="8" max="8" width="11.1796875" style="11" customWidth="1"/>
    <col min="9" max="9" width="7" style="11" customWidth="1"/>
    <col min="10" max="10" width="8" style="11" customWidth="1"/>
    <col min="11" max="11" width="7" style="11" customWidth="1"/>
    <col min="12" max="12" width="9.54296875" style="11" customWidth="1"/>
    <col min="13" max="13" width="8" style="11" customWidth="1"/>
    <col min="14" max="15" width="7" style="11" customWidth="1"/>
    <col min="16" max="16" width="7.90625" style="11" customWidth="1"/>
    <col min="17" max="17" width="7" style="11" customWidth="1"/>
    <col min="18" max="18" width="9.36328125" style="11" customWidth="1"/>
    <col min="19" max="19" width="7" style="2" customWidth="1"/>
    <col min="20" max="20" width="7" style="11" customWidth="1"/>
    <col min="21" max="21" width="12.453125" style="11" customWidth="1"/>
    <col min="22" max="22" width="8.08984375" style="11" customWidth="1"/>
    <col min="23" max="23" width="8.453125" style="11" customWidth="1"/>
    <col min="24" max="24" width="9.453125" style="11" customWidth="1"/>
    <col min="25" max="25" width="6.08984375" style="11" customWidth="1"/>
    <col min="26" max="26" width="6.81640625" style="40" bestFit="1" customWidth="1"/>
    <col min="27" max="27" width="12" style="40" bestFit="1" customWidth="1"/>
    <col min="28" max="16384" width="8.90625" style="11"/>
  </cols>
  <sheetData>
    <row r="1" spans="1:28" ht="14.1" customHeight="1" thickBot="1" x14ac:dyDescent="0.25">
      <c r="A1" s="34" t="s">
        <v>0</v>
      </c>
      <c r="B1" s="34"/>
      <c r="C1" s="34"/>
      <c r="D1" s="34"/>
      <c r="E1" s="77" t="s">
        <v>1</v>
      </c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34"/>
      <c r="V1" s="34"/>
      <c r="W1" s="34"/>
      <c r="X1" s="34" t="s">
        <v>2</v>
      </c>
    </row>
    <row r="2" spans="1:28" ht="14.1" customHeight="1" x14ac:dyDescent="0.2">
      <c r="A2" s="11" t="s">
        <v>3</v>
      </c>
      <c r="H2" s="11" t="s">
        <v>4</v>
      </c>
      <c r="J2" s="11" t="s">
        <v>5</v>
      </c>
      <c r="K2" s="42"/>
      <c r="L2" s="42"/>
      <c r="N2" s="42"/>
      <c r="O2" s="42"/>
      <c r="T2" s="32"/>
      <c r="U2" s="42" t="s">
        <v>6</v>
      </c>
      <c r="X2" s="32"/>
    </row>
    <row r="3" spans="1:28" ht="14.1" customHeight="1" x14ac:dyDescent="0.2">
      <c r="J3" s="11" t="s">
        <v>7</v>
      </c>
      <c r="K3" s="43"/>
      <c r="L3" s="32"/>
      <c r="O3" s="43"/>
      <c r="T3" s="32"/>
      <c r="U3" s="43" t="s">
        <v>8</v>
      </c>
      <c r="V3" s="32" t="s">
        <v>9</v>
      </c>
      <c r="X3" s="33"/>
    </row>
    <row r="4" spans="1:28" ht="14.1" customHeight="1" x14ac:dyDescent="0.2">
      <c r="A4" s="11" t="s">
        <v>10</v>
      </c>
      <c r="J4" s="11" t="s">
        <v>11</v>
      </c>
      <c r="K4" s="43"/>
      <c r="L4" s="32"/>
      <c r="M4" s="43"/>
      <c r="T4" s="32"/>
      <c r="U4" s="43"/>
      <c r="V4" s="32" t="s">
        <v>12</v>
      </c>
      <c r="X4" s="33"/>
    </row>
    <row r="5" spans="1:28" ht="14.1" customHeight="1" x14ac:dyDescent="0.2">
      <c r="K5" s="43"/>
      <c r="L5" s="32"/>
      <c r="M5" s="43"/>
      <c r="T5" s="32"/>
      <c r="V5" s="32" t="s">
        <v>13</v>
      </c>
      <c r="X5" s="33"/>
    </row>
    <row r="6" spans="1:28" ht="14.1" customHeight="1" thickBot="1" x14ac:dyDescent="0.25">
      <c r="A6" s="34" t="s">
        <v>14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6"/>
      <c r="T6" s="34"/>
      <c r="U6" s="34"/>
      <c r="V6" s="34" t="s">
        <v>79</v>
      </c>
      <c r="W6" s="34"/>
      <c r="X6" s="34"/>
    </row>
    <row r="7" spans="1:28" ht="14.1" customHeight="1" x14ac:dyDescent="0.2">
      <c r="C7" s="44"/>
      <c r="D7" s="44"/>
      <c r="E7" s="44"/>
      <c r="F7" s="44"/>
      <c r="G7" s="44"/>
      <c r="H7" s="44"/>
      <c r="I7" s="44"/>
      <c r="J7" s="44"/>
      <c r="K7" s="45"/>
      <c r="L7" s="44"/>
      <c r="M7" s="44"/>
      <c r="N7" s="44"/>
      <c r="O7" s="44"/>
      <c r="P7" s="44"/>
      <c r="Q7" s="44"/>
      <c r="R7" s="44"/>
      <c r="S7" s="15"/>
    </row>
    <row r="8" spans="1:28" ht="14.1" customHeight="1" x14ac:dyDescent="0.2">
      <c r="C8" s="44"/>
      <c r="D8" s="44"/>
      <c r="E8" s="44"/>
      <c r="F8" s="44"/>
      <c r="G8" s="44"/>
      <c r="H8" s="44"/>
      <c r="I8" s="44"/>
      <c r="J8" s="44"/>
      <c r="K8" s="45"/>
      <c r="L8" s="44"/>
      <c r="M8" s="44"/>
      <c r="N8" s="44"/>
      <c r="O8" s="44"/>
      <c r="P8" s="44"/>
      <c r="Q8" s="44"/>
      <c r="R8" s="44"/>
      <c r="S8" s="15"/>
    </row>
    <row r="9" spans="1:28" ht="14.1" customHeight="1" x14ac:dyDescent="0.2">
      <c r="B9" s="40" t="s">
        <v>15</v>
      </c>
      <c r="C9" s="40"/>
      <c r="D9" s="40"/>
      <c r="E9" s="40"/>
      <c r="F9" s="40"/>
      <c r="G9" s="46"/>
      <c r="H9" s="46" t="s">
        <v>16</v>
      </c>
      <c r="I9" s="46"/>
      <c r="J9" s="47"/>
      <c r="K9" s="46" t="s">
        <v>17</v>
      </c>
      <c r="L9" s="47"/>
      <c r="M9" s="47"/>
      <c r="N9" s="47" t="s">
        <v>18</v>
      </c>
      <c r="O9" s="46"/>
      <c r="P9" s="46"/>
      <c r="Q9" s="47" t="s">
        <v>19</v>
      </c>
      <c r="R9" s="46"/>
      <c r="S9" s="16"/>
      <c r="T9" s="47" t="s">
        <v>20</v>
      </c>
      <c r="U9" s="47"/>
      <c r="V9" s="48"/>
      <c r="W9" s="46" t="s">
        <v>21</v>
      </c>
      <c r="X9" s="48"/>
    </row>
    <row r="10" spans="1:28" ht="14.1" customHeight="1" x14ac:dyDescent="0.2">
      <c r="A10" s="11" t="s">
        <v>22</v>
      </c>
      <c r="B10" s="32" t="s">
        <v>23</v>
      </c>
      <c r="C10" s="40"/>
      <c r="D10" s="40" t="s">
        <v>24</v>
      </c>
      <c r="E10" s="40" t="s">
        <v>25</v>
      </c>
      <c r="F10" s="40"/>
      <c r="G10" s="44" t="s">
        <v>26</v>
      </c>
      <c r="H10" s="40" t="s">
        <v>27</v>
      </c>
      <c r="I10" s="40" t="s">
        <v>28</v>
      </c>
      <c r="J10" s="44" t="s">
        <v>26</v>
      </c>
      <c r="K10" s="40" t="s">
        <v>27</v>
      </c>
      <c r="L10" s="40" t="s">
        <v>28</v>
      </c>
      <c r="M10" s="44" t="s">
        <v>26</v>
      </c>
      <c r="N10" s="40" t="s">
        <v>27</v>
      </c>
      <c r="O10" s="40" t="s">
        <v>28</v>
      </c>
      <c r="P10" s="44" t="s">
        <v>26</v>
      </c>
      <c r="Q10" s="40" t="s">
        <v>27</v>
      </c>
      <c r="R10" s="40" t="s">
        <v>28</v>
      </c>
      <c r="S10" s="17" t="s">
        <v>26</v>
      </c>
      <c r="T10" s="40" t="s">
        <v>27</v>
      </c>
      <c r="U10" s="40" t="s">
        <v>28</v>
      </c>
      <c r="V10" s="44" t="s">
        <v>26</v>
      </c>
      <c r="W10" s="40" t="s">
        <v>27</v>
      </c>
      <c r="X10" s="40" t="s">
        <v>28</v>
      </c>
    </row>
    <row r="11" spans="1:28" ht="14.1" customHeight="1" thickBot="1" x14ac:dyDescent="0.25">
      <c r="A11" s="34" t="s">
        <v>29</v>
      </c>
      <c r="B11" s="41"/>
      <c r="C11" s="41"/>
      <c r="D11" s="41"/>
      <c r="E11" s="41"/>
      <c r="F11" s="41"/>
      <c r="G11" s="49"/>
      <c r="H11" s="41"/>
      <c r="I11" s="49"/>
      <c r="J11" s="49"/>
      <c r="K11" s="49"/>
      <c r="L11" s="49"/>
      <c r="M11" s="50"/>
      <c r="N11" s="49"/>
      <c r="O11" s="51"/>
      <c r="P11" s="50"/>
      <c r="Q11" s="49"/>
      <c r="R11" s="49"/>
      <c r="S11" s="18"/>
      <c r="T11" s="34"/>
      <c r="U11" s="34"/>
      <c r="V11" s="34"/>
      <c r="W11" s="34"/>
      <c r="X11" s="34"/>
    </row>
    <row r="12" spans="1:28" ht="14.1" customHeight="1" x14ac:dyDescent="0.2">
      <c r="A12" s="11">
        <v>1</v>
      </c>
      <c r="B12" s="52" t="s">
        <v>30</v>
      </c>
      <c r="S12" s="20"/>
      <c r="W12" s="53"/>
      <c r="X12" s="53"/>
    </row>
    <row r="13" spans="1:28" ht="14.1" customHeight="1" x14ac:dyDescent="0.2">
      <c r="A13" s="11">
        <v>2</v>
      </c>
      <c r="B13" s="11" t="s">
        <v>31</v>
      </c>
      <c r="D13" s="12"/>
      <c r="E13" s="12"/>
      <c r="F13" s="35"/>
      <c r="G13" s="10"/>
      <c r="H13" s="21"/>
      <c r="I13" s="54"/>
      <c r="J13" s="12"/>
      <c r="K13" s="12"/>
      <c r="L13" s="35"/>
      <c r="M13" s="1"/>
      <c r="N13" s="12"/>
      <c r="O13" s="35"/>
      <c r="P13" s="9"/>
      <c r="Q13" s="9"/>
      <c r="R13" s="1"/>
      <c r="S13" s="12"/>
      <c r="T13" s="12"/>
      <c r="U13" s="35"/>
      <c r="V13" s="1"/>
      <c r="W13" s="1"/>
      <c r="X13" s="1"/>
    </row>
    <row r="14" spans="1:28" ht="14.1" customHeight="1" x14ac:dyDescent="0.2">
      <c r="A14" s="11">
        <v>3</v>
      </c>
      <c r="D14" s="12"/>
      <c r="E14" s="12"/>
      <c r="F14" s="35"/>
      <c r="G14" s="12"/>
      <c r="H14" s="12"/>
      <c r="I14" s="35"/>
      <c r="J14" s="12"/>
      <c r="K14" s="12"/>
      <c r="L14" s="35"/>
      <c r="M14" s="1"/>
      <c r="N14" s="12"/>
      <c r="O14" s="35"/>
      <c r="P14" s="1"/>
      <c r="Q14" s="1"/>
      <c r="R14" s="1"/>
      <c r="S14" s="12"/>
      <c r="T14" s="12"/>
      <c r="U14" s="35"/>
      <c r="V14" s="1"/>
      <c r="W14" s="1"/>
      <c r="X14" s="35"/>
      <c r="Z14" s="55" t="s">
        <v>32</v>
      </c>
      <c r="AA14" s="55" t="s">
        <v>32</v>
      </c>
    </row>
    <row r="15" spans="1:28" ht="14.1" customHeight="1" x14ac:dyDescent="0.2">
      <c r="A15" s="11">
        <v>4</v>
      </c>
      <c r="D15" s="8" t="s">
        <v>33</v>
      </c>
      <c r="E15" s="8" t="s">
        <v>34</v>
      </c>
      <c r="F15" s="35"/>
      <c r="G15" s="1">
        <f>'[2]MFRB-18'!$G$27</f>
        <v>38520.230000000003</v>
      </c>
      <c r="H15" s="1">
        <f>+'[2]MFRB-18'!$H$27</f>
        <v>5125.1353540907194</v>
      </c>
      <c r="I15" s="35">
        <f t="shared" ref="I15" si="0">IFERROR(H15*1000/G15,0)</f>
        <v>133.05048682447429</v>
      </c>
      <c r="J15" s="1">
        <f>+'[2]MFRB-18'!$J$27</f>
        <v>0</v>
      </c>
      <c r="K15" s="1">
        <f>+'[2]MFRB-18'!$K$27</f>
        <v>0</v>
      </c>
      <c r="L15" s="35">
        <f t="shared" ref="L15:L27" si="1">IFERROR(K15*1000/J15,0)</f>
        <v>0</v>
      </c>
      <c r="M15" s="1">
        <f>+'[2]MFRB-18'!$M$27</f>
        <v>500</v>
      </c>
      <c r="N15" s="1">
        <f>+'[2]MFRB-18'!$N$27</f>
        <v>66.525240000000011</v>
      </c>
      <c r="O15" s="35">
        <f t="shared" ref="O15" si="2">IFERROR(N15*1000/M15,0)</f>
        <v>133.05048000000002</v>
      </c>
      <c r="P15" s="1">
        <v>0</v>
      </c>
      <c r="Q15" s="1">
        <v>0</v>
      </c>
      <c r="R15" s="35">
        <v>0</v>
      </c>
      <c r="S15" s="1"/>
      <c r="T15" s="1"/>
      <c r="U15" s="35">
        <f t="shared" ref="U15" si="3">IFERROR(T15*1000/S15,0)</f>
        <v>0</v>
      </c>
      <c r="V15" s="1">
        <f>+'[2]MFRB-18'!$V$27</f>
        <v>38020.230000000003</v>
      </c>
      <c r="W15" s="1">
        <f>+'[2]MFRB-18'!$W$27</f>
        <v>5058.6101140907194</v>
      </c>
      <c r="X15" s="35">
        <f t="shared" ref="X15" si="4">IFERROR(W15*1000/V15,0)</f>
        <v>133.0504869142222</v>
      </c>
      <c r="Z15" s="56">
        <f>+G15+J15-M15-P15+S15-V15</f>
        <v>0</v>
      </c>
      <c r="AA15" s="56">
        <f>+H15+K15-N15-Q15+T15-W15</f>
        <v>0</v>
      </c>
      <c r="AB15" s="57"/>
    </row>
    <row r="16" spans="1:28" s="2" customFormat="1" ht="14.1" customHeight="1" x14ac:dyDescent="0.2">
      <c r="A16" s="11">
        <v>5</v>
      </c>
      <c r="B16" s="36"/>
      <c r="C16" s="20"/>
      <c r="D16" s="1" t="s">
        <v>35</v>
      </c>
      <c r="E16" s="8" t="s">
        <v>36</v>
      </c>
      <c r="F16" s="1"/>
      <c r="G16" s="1">
        <f>V15</f>
        <v>38020.230000000003</v>
      </c>
      <c r="H16" s="1">
        <f>ROUND('[3]OIL&amp;PROPANE INVENTORY'!$C$56/1000,4)</f>
        <v>5058.6100999999999</v>
      </c>
      <c r="I16" s="35">
        <f t="shared" ref="I16:I27" si="5">IFERROR(H16*1000/G16,0)</f>
        <v>133.0504865436111</v>
      </c>
      <c r="J16" s="1">
        <f>'[3]OIL&amp;PROPANE INVENTORY'!$C$59</f>
        <v>0</v>
      </c>
      <c r="K16" s="1">
        <f>ROUND('[3]OIL&amp;PROPANE INVENTORY'!$C$60/1000,4)</f>
        <v>0</v>
      </c>
      <c r="L16" s="35">
        <f t="shared" si="1"/>
        <v>0</v>
      </c>
      <c r="M16" s="1">
        <f>'[3]OIL&amp;PROPANE INVENTORY'!$C$67</f>
        <v>500</v>
      </c>
      <c r="N16" s="1">
        <f>ROUND('[3]OIL&amp;PROPANE INVENTORY'!$C$68/1000,4)</f>
        <v>66.525199999999998</v>
      </c>
      <c r="O16" s="35">
        <f t="shared" ref="O16:O27" si="6">IFERROR(N16*1000/M16,0)</f>
        <v>133.0504</v>
      </c>
      <c r="P16" s="1">
        <f>'[3]OIL&amp;PROPANE INVENTORY'!$C$71</f>
        <v>0</v>
      </c>
      <c r="Q16" s="1">
        <f>ROUND('[3]OIL&amp;PROPANE INVENTORY'!$C$72/1000,4)</f>
        <v>0</v>
      </c>
      <c r="R16" s="35">
        <f t="shared" ref="R16:R27" si="7">IFERROR(Q16*1000/P16,0)</f>
        <v>0</v>
      </c>
      <c r="S16" s="1">
        <v>0</v>
      </c>
      <c r="T16" s="1">
        <v>0</v>
      </c>
      <c r="U16" s="35">
        <f t="shared" ref="U16:U27" si="8">IFERROR(T16*1000/S16,0)</f>
        <v>0</v>
      </c>
      <c r="V16" s="1">
        <f>'[3]OIL&amp;PROPANE INVENTORY'!$C$75</f>
        <v>37520.230000000003</v>
      </c>
      <c r="W16" s="1">
        <f>ROUND('[3]OIL&amp;PROPANE INVENTORY'!$C$76/1000,4)</f>
        <v>4992.0848999999998</v>
      </c>
      <c r="X16" s="35">
        <f t="shared" ref="X16:X27" si="9">IFERROR(W16*1000/V16,0)</f>
        <v>133.05048769690376</v>
      </c>
      <c r="Z16" s="38">
        <f t="shared" ref="Z16:AA27" si="10">+G16+J16-M16-P16+S16-V16</f>
        <v>0</v>
      </c>
      <c r="AA16" s="38">
        <f t="shared" si="10"/>
        <v>0</v>
      </c>
    </row>
    <row r="17" spans="1:27" s="2" customFormat="1" ht="14.1" customHeight="1" x14ac:dyDescent="0.2">
      <c r="A17" s="11">
        <v>6</v>
      </c>
      <c r="B17" s="20"/>
      <c r="C17" s="20"/>
      <c r="D17" s="8" t="s">
        <v>37</v>
      </c>
      <c r="E17" s="8" t="s">
        <v>36</v>
      </c>
      <c r="F17" s="1"/>
      <c r="G17" s="1">
        <f t="shared" ref="G17:G27" si="11">V16</f>
        <v>37520.230000000003</v>
      </c>
      <c r="H17" s="1">
        <f>ROUND('[3]OIL&amp;PROPANE INVENTORY'!$D$56/1000,4)</f>
        <v>4992.0848999999998</v>
      </c>
      <c r="I17" s="35">
        <f t="shared" si="5"/>
        <v>133.05048769690376</v>
      </c>
      <c r="J17" s="1">
        <f>'[3]OIL&amp;PROPANE INVENTORY'!$D$59</f>
        <v>0</v>
      </c>
      <c r="K17" s="1">
        <f>ROUND('[3]OIL&amp;PROPANE INVENTORY'!$D$60/1000,4)</f>
        <v>0</v>
      </c>
      <c r="L17" s="35">
        <f t="shared" si="1"/>
        <v>0</v>
      </c>
      <c r="M17" s="1">
        <f>'[3]OIL&amp;PROPANE INVENTORY'!$D$67</f>
        <v>500</v>
      </c>
      <c r="N17" s="1">
        <f>ROUND('[3]OIL&amp;PROPANE INVENTORY'!$D$68/1000,4)</f>
        <v>66.525199999999998</v>
      </c>
      <c r="O17" s="35">
        <f t="shared" si="6"/>
        <v>133.0504</v>
      </c>
      <c r="P17" s="1">
        <f>'[3]OIL&amp;PROPANE INVENTORY'!$D$71</f>
        <v>0</v>
      </c>
      <c r="Q17" s="1">
        <f>ROUND('[3]OIL&amp;PROPANE INVENTORY'!$D$72/1000,4)</f>
        <v>0</v>
      </c>
      <c r="R17" s="35">
        <f t="shared" si="7"/>
        <v>0</v>
      </c>
      <c r="S17" s="1">
        <v>0</v>
      </c>
      <c r="T17" s="1">
        <v>0</v>
      </c>
      <c r="U17" s="35">
        <f t="shared" si="8"/>
        <v>0</v>
      </c>
      <c r="V17" s="1">
        <f>'[3]OIL&amp;PROPANE INVENTORY'!$D$75</f>
        <v>37020.230000000003</v>
      </c>
      <c r="W17" s="1">
        <f>ROUND('[3]OIL&amp;PROPANE INVENTORY'!$D$76/1000,4)</f>
        <v>4925.5595999999996</v>
      </c>
      <c r="X17" s="35">
        <f t="shared" si="9"/>
        <v>133.05048618012367</v>
      </c>
      <c r="Z17" s="38">
        <f t="shared" si="10"/>
        <v>0</v>
      </c>
      <c r="AA17" s="38">
        <f t="shared" si="10"/>
        <v>1.0000000020227162E-4</v>
      </c>
    </row>
    <row r="18" spans="1:27" s="2" customFormat="1" ht="14.1" customHeight="1" x14ac:dyDescent="0.2">
      <c r="A18" s="11">
        <v>7</v>
      </c>
      <c r="B18" s="20"/>
      <c r="C18" s="20"/>
      <c r="D18" s="1" t="s">
        <v>38</v>
      </c>
      <c r="E18" s="8" t="s">
        <v>36</v>
      </c>
      <c r="F18" s="1"/>
      <c r="G18" s="1">
        <f t="shared" si="11"/>
        <v>37020.230000000003</v>
      </c>
      <c r="H18" s="1">
        <f>ROUND('[3]OIL&amp;PROPANE INVENTORY'!$E$56/1000,4)</f>
        <v>4925.5595999999996</v>
      </c>
      <c r="I18" s="35">
        <f t="shared" si="5"/>
        <v>133.05048618012367</v>
      </c>
      <c r="J18" s="1">
        <f>'[3]OIL&amp;PROPANE INVENTORY'!$E$59</f>
        <v>4762</v>
      </c>
      <c r="K18" s="1">
        <f>ROUND('[3]OIL&amp;PROPANE INVENTORY'!$E$60/1000,4)</f>
        <v>513.04179999999997</v>
      </c>
      <c r="L18" s="35">
        <f t="shared" ref="L18:L28" si="12">IF(K18&gt;0,ROUND((K18*1000)/J18,2),4)</f>
        <v>107.74</v>
      </c>
      <c r="M18" s="1">
        <f>'[3]OIL&amp;PROPANE INVENTORY'!$E$67</f>
        <v>500</v>
      </c>
      <c r="N18" s="1">
        <f>ROUND('[3]OIL&amp;PROPANE INVENTORY'!$E$68/1000,4)</f>
        <v>65.082700000000003</v>
      </c>
      <c r="O18" s="35">
        <f t="shared" si="6"/>
        <v>130.16540000000001</v>
      </c>
      <c r="P18" s="1">
        <f>'[3]OIL&amp;PROPANE INVENTORY'!$E$71</f>
        <v>0</v>
      </c>
      <c r="Q18" s="1">
        <f>ROUND('[3]OIL&amp;PROPANE INVENTORY'!$E$72/1000,4)</f>
        <v>0</v>
      </c>
      <c r="R18" s="35">
        <f t="shared" si="7"/>
        <v>0</v>
      </c>
      <c r="S18" s="1">
        <v>0</v>
      </c>
      <c r="T18" s="1">
        <v>0</v>
      </c>
      <c r="U18" s="35">
        <f t="shared" si="8"/>
        <v>0</v>
      </c>
      <c r="V18" s="1">
        <f>'[3]OIL&amp;PROPANE INVENTORY'!$E$75</f>
        <v>41282.230000000003</v>
      </c>
      <c r="W18" s="1">
        <f>ROUND('[3]OIL&amp;PROPANE INVENTORY'!$E$76/1000,4)</f>
        <v>5373.5187999999998</v>
      </c>
      <c r="X18" s="35">
        <f t="shared" si="9"/>
        <v>130.16541984287184</v>
      </c>
      <c r="Z18" s="38">
        <f t="shared" si="10"/>
        <v>0</v>
      </c>
      <c r="AA18" s="38">
        <f t="shared" si="10"/>
        <v>-1.0000000020227162E-4</v>
      </c>
    </row>
    <row r="19" spans="1:27" s="2" customFormat="1" ht="14.1" customHeight="1" x14ac:dyDescent="0.2">
      <c r="A19" s="11">
        <v>8</v>
      </c>
      <c r="B19" s="20"/>
      <c r="C19" s="20"/>
      <c r="D19" s="8" t="s">
        <v>39</v>
      </c>
      <c r="E19" s="8" t="s">
        <v>36</v>
      </c>
      <c r="F19" s="1"/>
      <c r="G19" s="1">
        <f t="shared" si="11"/>
        <v>41282.230000000003</v>
      </c>
      <c r="H19" s="1">
        <f>ROUND('[3]OIL&amp;PROPANE INVENTORY'!$F$56/1000,4)</f>
        <v>5373.5187999999998</v>
      </c>
      <c r="I19" s="35">
        <f t="shared" si="5"/>
        <v>130.16541984287184</v>
      </c>
      <c r="J19" s="1">
        <f>'[3]OIL&amp;PROPANE INVENTORY'!$F$59</f>
        <v>0</v>
      </c>
      <c r="K19" s="1">
        <f>ROUND('[3]OIL&amp;PROPANE INVENTORY'!$F$60/1000,4)</f>
        <v>0</v>
      </c>
      <c r="L19" s="35">
        <f t="shared" si="1"/>
        <v>0</v>
      </c>
      <c r="M19" s="1">
        <f>'[3]OIL&amp;PROPANE INVENTORY'!$F$67</f>
        <v>0</v>
      </c>
      <c r="N19" s="1">
        <f>ROUND('[3]OIL&amp;PROPANE INVENTORY'!$F$68/1000,4)</f>
        <v>0</v>
      </c>
      <c r="O19" s="35">
        <f t="shared" si="6"/>
        <v>0</v>
      </c>
      <c r="P19" s="1">
        <f>'[3]OIL&amp;PROPANE INVENTORY'!$F$71</f>
        <v>0</v>
      </c>
      <c r="Q19" s="1">
        <f>ROUND('[3]OIL&amp;PROPANE INVENTORY'!$F$72/1000,4)</f>
        <v>0</v>
      </c>
      <c r="R19" s="35">
        <f t="shared" si="7"/>
        <v>0</v>
      </c>
      <c r="S19" s="1">
        <v>0</v>
      </c>
      <c r="T19" s="1">
        <v>0</v>
      </c>
      <c r="U19" s="35">
        <f t="shared" si="8"/>
        <v>0</v>
      </c>
      <c r="V19" s="1">
        <f>'[3]OIL&amp;PROPANE INVENTORY'!$F$75</f>
        <v>41282.230000000003</v>
      </c>
      <c r="W19" s="1">
        <f>ROUND('[3]OIL&amp;PROPANE INVENTORY'!$F$76/1000,4)</f>
        <v>5373.5187999999998</v>
      </c>
      <c r="X19" s="35">
        <f t="shared" si="9"/>
        <v>130.16541984287184</v>
      </c>
      <c r="Z19" s="38">
        <f t="shared" si="10"/>
        <v>0</v>
      </c>
      <c r="AA19" s="38">
        <f t="shared" si="10"/>
        <v>0</v>
      </c>
    </row>
    <row r="20" spans="1:27" s="2" customFormat="1" ht="14.1" customHeight="1" x14ac:dyDescent="0.2">
      <c r="A20" s="11">
        <v>9</v>
      </c>
      <c r="B20" s="20"/>
      <c r="C20" s="20"/>
      <c r="D20" s="1" t="s">
        <v>40</v>
      </c>
      <c r="E20" s="8" t="s">
        <v>36</v>
      </c>
      <c r="F20" s="1"/>
      <c r="G20" s="1">
        <f t="shared" si="11"/>
        <v>41282.230000000003</v>
      </c>
      <c r="H20" s="1">
        <f>ROUND('[3]OIL&amp;PROPANE INVENTORY'!$G$56/1000,4)</f>
        <v>5373.5187999999998</v>
      </c>
      <c r="I20" s="35">
        <f t="shared" si="5"/>
        <v>130.16541984287184</v>
      </c>
      <c r="J20" s="1">
        <f>'[3]OIL&amp;PROPANE INVENTORY'!$G$59</f>
        <v>0</v>
      </c>
      <c r="K20" s="1">
        <f>ROUND('[3]OIL&amp;PROPANE INVENTORY'!$G$60/1000,4)</f>
        <v>0</v>
      </c>
      <c r="L20" s="35">
        <f t="shared" si="1"/>
        <v>0</v>
      </c>
      <c r="M20" s="1">
        <f>'[3]OIL&amp;PROPANE INVENTORY'!$G$67</f>
        <v>500</v>
      </c>
      <c r="N20" s="1">
        <f>ROUND('[3]OIL&amp;PROPANE INVENTORY'!$G$68/1000,4)</f>
        <v>65.082700000000003</v>
      </c>
      <c r="O20" s="35">
        <f t="shared" si="6"/>
        <v>130.16540000000001</v>
      </c>
      <c r="P20" s="1">
        <f>'[3]OIL&amp;PROPANE INVENTORY'!$G$71</f>
        <v>0</v>
      </c>
      <c r="Q20" s="1">
        <f>ROUND('[3]OIL&amp;PROPANE INVENTORY'!$G$72/1000,4)</f>
        <v>0</v>
      </c>
      <c r="R20" s="35">
        <f t="shared" si="7"/>
        <v>0</v>
      </c>
      <c r="S20" s="1">
        <v>0</v>
      </c>
      <c r="T20" s="1">
        <v>0</v>
      </c>
      <c r="U20" s="35">
        <f t="shared" si="8"/>
        <v>0</v>
      </c>
      <c r="V20" s="1">
        <f>'[3]OIL&amp;PROPANE INVENTORY'!$G$75</f>
        <v>40782.230000000003</v>
      </c>
      <c r="W20" s="1">
        <f>ROUND('[3]OIL&amp;PROPANE INVENTORY'!$G$76/1000,4)</f>
        <v>5308.4359999999997</v>
      </c>
      <c r="X20" s="35">
        <f t="shared" si="9"/>
        <v>130.16541763410191</v>
      </c>
      <c r="Z20" s="38">
        <f t="shared" si="10"/>
        <v>0</v>
      </c>
      <c r="AA20" s="38">
        <f t="shared" si="10"/>
        <v>1.0000000020227162E-4</v>
      </c>
    </row>
    <row r="21" spans="1:27" s="2" customFormat="1" ht="14.1" customHeight="1" x14ac:dyDescent="0.2">
      <c r="A21" s="11">
        <v>10</v>
      </c>
      <c r="B21" s="20"/>
      <c r="C21" s="20"/>
      <c r="D21" s="8" t="s">
        <v>41</v>
      </c>
      <c r="E21" s="8" t="s">
        <v>36</v>
      </c>
      <c r="F21" s="1"/>
      <c r="G21" s="1">
        <f t="shared" si="11"/>
        <v>40782.230000000003</v>
      </c>
      <c r="H21" s="1">
        <f>ROUND('[3]OIL&amp;PROPANE INVENTORY'!$H$56/1000,4)</f>
        <v>5308.4359999999997</v>
      </c>
      <c r="I21" s="35">
        <f t="shared" si="5"/>
        <v>130.16541763410191</v>
      </c>
      <c r="J21" s="1">
        <f>'[3]OIL&amp;PROPANE INVENTORY'!$H$59</f>
        <v>0</v>
      </c>
      <c r="K21" s="1">
        <f>ROUND('[3]OIL&amp;PROPANE INVENTORY'!$H$60/1000,4)</f>
        <v>0</v>
      </c>
      <c r="L21" s="35">
        <f t="shared" si="1"/>
        <v>0</v>
      </c>
      <c r="M21" s="1">
        <f>'[3]OIL&amp;PROPANE INVENTORY'!$H$67</f>
        <v>500</v>
      </c>
      <c r="N21" s="1">
        <f>ROUND('[3]OIL&amp;PROPANE INVENTORY'!$H$68/1000,4)</f>
        <v>65.082700000000003</v>
      </c>
      <c r="O21" s="35">
        <f t="shared" si="6"/>
        <v>130.16540000000001</v>
      </c>
      <c r="P21" s="1">
        <f>'[3]OIL&amp;PROPANE INVENTORY'!$H$71</f>
        <v>0</v>
      </c>
      <c r="Q21" s="1">
        <f>ROUND('[3]OIL&amp;PROPANE INVENTORY'!$H$72/1000,4)</f>
        <v>0</v>
      </c>
      <c r="R21" s="35">
        <f t="shared" si="7"/>
        <v>0</v>
      </c>
      <c r="S21" s="1">
        <v>0</v>
      </c>
      <c r="T21" s="1">
        <v>0</v>
      </c>
      <c r="U21" s="35">
        <f t="shared" si="8"/>
        <v>0</v>
      </c>
      <c r="V21" s="1">
        <f>'[3]OIL&amp;PROPANE INVENTORY'!$H$75</f>
        <v>40282.230000000003</v>
      </c>
      <c r="W21" s="1">
        <f>ROUND('[3]OIL&amp;PROPANE INVENTORY'!$H$76/1000,4)</f>
        <v>5243.3532999999998</v>
      </c>
      <c r="X21" s="35">
        <f t="shared" si="9"/>
        <v>130.16541785298381</v>
      </c>
      <c r="Z21" s="38">
        <f t="shared" si="10"/>
        <v>0</v>
      </c>
      <c r="AA21" s="38">
        <f t="shared" si="10"/>
        <v>0</v>
      </c>
    </row>
    <row r="22" spans="1:27" s="2" customFormat="1" ht="14.1" customHeight="1" x14ac:dyDescent="0.2">
      <c r="A22" s="11">
        <v>11</v>
      </c>
      <c r="B22" s="36"/>
      <c r="C22" s="20"/>
      <c r="D22" s="1" t="s">
        <v>42</v>
      </c>
      <c r="E22" s="8" t="s">
        <v>36</v>
      </c>
      <c r="F22" s="1"/>
      <c r="G22" s="1">
        <f t="shared" si="11"/>
        <v>40282.230000000003</v>
      </c>
      <c r="H22" s="1">
        <f>ROUND('[3]OIL&amp;PROPANE INVENTORY'!$I$56/1000,4)</f>
        <v>5243.3532999999998</v>
      </c>
      <c r="I22" s="35">
        <f t="shared" si="5"/>
        <v>130.16541785298381</v>
      </c>
      <c r="J22" s="1">
        <f>'[3]OIL&amp;PROPANE INVENTORY'!$I$59</f>
        <v>0</v>
      </c>
      <c r="K22" s="1">
        <f>ROUND('[3]OIL&amp;PROPANE INVENTORY'!$I$60/1000,4)</f>
        <v>0</v>
      </c>
      <c r="L22" s="35">
        <f t="shared" si="1"/>
        <v>0</v>
      </c>
      <c r="M22" s="1">
        <f>'[3]OIL&amp;PROPANE INVENTORY'!$I$67</f>
        <v>500</v>
      </c>
      <c r="N22" s="1">
        <f>ROUND('[3]OIL&amp;PROPANE INVENTORY'!$I$68/1000,4)</f>
        <v>65.082700000000003</v>
      </c>
      <c r="O22" s="35">
        <f t="shared" si="6"/>
        <v>130.16540000000001</v>
      </c>
      <c r="P22" s="1">
        <f>'[3]OIL&amp;PROPANE INVENTORY'!$I$71</f>
        <v>0</v>
      </c>
      <c r="Q22" s="1">
        <f>ROUND('[3]OIL&amp;PROPANE INVENTORY'!$I$72/1000,4)</f>
        <v>0</v>
      </c>
      <c r="R22" s="35">
        <f t="shared" si="7"/>
        <v>0</v>
      </c>
      <c r="S22" s="1">
        <v>0</v>
      </c>
      <c r="T22" s="1">
        <v>0</v>
      </c>
      <c r="U22" s="35">
        <f t="shared" si="8"/>
        <v>0</v>
      </c>
      <c r="V22" s="1">
        <f>'[3]OIL&amp;PROPANE INVENTORY'!$I$75</f>
        <v>39782.230000000003</v>
      </c>
      <c r="W22" s="1">
        <f>ROUND('[3]OIL&amp;PROPANE INVENTORY'!$I$76/1000,4)</f>
        <v>5178.2705999999998</v>
      </c>
      <c r="X22" s="35">
        <f t="shared" si="9"/>
        <v>130.16541807736769</v>
      </c>
      <c r="Z22" s="38">
        <f t="shared" si="10"/>
        <v>0</v>
      </c>
      <c r="AA22" s="38">
        <f t="shared" si="10"/>
        <v>0</v>
      </c>
    </row>
    <row r="23" spans="1:27" s="2" customFormat="1" ht="14.1" customHeight="1" x14ac:dyDescent="0.2">
      <c r="A23" s="11">
        <v>12</v>
      </c>
      <c r="B23" s="20"/>
      <c r="C23" s="20"/>
      <c r="D23" s="8" t="s">
        <v>43</v>
      </c>
      <c r="E23" s="8" t="s">
        <v>36</v>
      </c>
      <c r="F23" s="1"/>
      <c r="G23" s="1">
        <f t="shared" si="11"/>
        <v>39782.230000000003</v>
      </c>
      <c r="H23" s="1">
        <f>ROUND('[3]OIL&amp;PROPANE INVENTORY'!$J$56/1000,4)</f>
        <v>5178.2705999999998</v>
      </c>
      <c r="I23" s="35">
        <f t="shared" si="5"/>
        <v>130.16541807736769</v>
      </c>
      <c r="J23" s="1">
        <f>'[3]OIL&amp;PROPANE INVENTORY'!$J$59</f>
        <v>0</v>
      </c>
      <c r="K23" s="1">
        <f>ROUND('[3]OIL&amp;PROPANE INVENTORY'!$J$60/1000,4)</f>
        <v>0</v>
      </c>
      <c r="L23" s="35">
        <f t="shared" si="1"/>
        <v>0</v>
      </c>
      <c r="M23" s="1">
        <f>'[3]OIL&amp;PROPANE INVENTORY'!$J$67</f>
        <v>500</v>
      </c>
      <c r="N23" s="1">
        <f>ROUND('[3]OIL&amp;PROPANE INVENTORY'!$J$68/1000,4)</f>
        <v>65.082700000000003</v>
      </c>
      <c r="O23" s="35">
        <f t="shared" si="6"/>
        <v>130.16540000000001</v>
      </c>
      <c r="P23" s="1">
        <f>'[3]OIL&amp;PROPANE INVENTORY'!$J$71</f>
        <v>0</v>
      </c>
      <c r="Q23" s="1">
        <f>ROUND('[3]OIL&amp;PROPANE INVENTORY'!$J$72/1000,4)</f>
        <v>0</v>
      </c>
      <c r="R23" s="35">
        <f t="shared" si="7"/>
        <v>0</v>
      </c>
      <c r="S23" s="1">
        <v>0</v>
      </c>
      <c r="T23" s="1">
        <v>0</v>
      </c>
      <c r="U23" s="35">
        <f t="shared" si="8"/>
        <v>0</v>
      </c>
      <c r="V23" s="1">
        <f>'[3]OIL&amp;PROPANE INVENTORY'!$J$75</f>
        <v>39282.230000000003</v>
      </c>
      <c r="W23" s="1">
        <f>ROUND('[3]OIL&amp;PROPANE INVENTORY'!$J$76/1000,4)</f>
        <v>5113.1878999999999</v>
      </c>
      <c r="X23" s="35">
        <f t="shared" si="9"/>
        <v>130.16541830746368</v>
      </c>
      <c r="Z23" s="38">
        <f t="shared" si="10"/>
        <v>0</v>
      </c>
      <c r="AA23" s="38">
        <f t="shared" si="10"/>
        <v>0</v>
      </c>
    </row>
    <row r="24" spans="1:27" s="2" customFormat="1" ht="14.1" customHeight="1" x14ac:dyDescent="0.2">
      <c r="A24" s="11">
        <v>13</v>
      </c>
      <c r="B24" s="20"/>
      <c r="C24" s="20"/>
      <c r="D24" s="1" t="s">
        <v>44</v>
      </c>
      <c r="E24" s="8" t="s">
        <v>36</v>
      </c>
      <c r="F24" s="1"/>
      <c r="G24" s="1">
        <f t="shared" si="11"/>
        <v>39282.230000000003</v>
      </c>
      <c r="H24" s="1">
        <f>ROUND('[3]OIL&amp;PROPANE INVENTORY'!$K$56/1000,4)</f>
        <v>5113.1878999999999</v>
      </c>
      <c r="I24" s="35">
        <f t="shared" si="5"/>
        <v>130.16541830746368</v>
      </c>
      <c r="J24" s="1">
        <f>'[3]OIL&amp;PROPANE INVENTORY'!$K$59</f>
        <v>2381</v>
      </c>
      <c r="K24" s="1">
        <f>ROUND('[3]OIL&amp;PROPANE INVENTORY'!$K$60/1000,4)</f>
        <v>256.2079</v>
      </c>
      <c r="L24" s="35">
        <f t="shared" si="12"/>
        <v>107.61</v>
      </c>
      <c r="M24" s="1">
        <f>'[3]OIL&amp;PROPANE INVENTORY'!$K$67</f>
        <v>500</v>
      </c>
      <c r="N24" s="1">
        <f>ROUND('[3]OIL&amp;PROPANE INVENTORY'!$K$68/1000,4)</f>
        <v>64.438100000000006</v>
      </c>
      <c r="O24" s="35">
        <f t="shared" si="6"/>
        <v>128.87620000000001</v>
      </c>
      <c r="P24" s="1">
        <f>'[3]OIL&amp;PROPANE INVENTORY'!$K$71</f>
        <v>0</v>
      </c>
      <c r="Q24" s="1">
        <f>ROUND('[3]OIL&amp;PROPANE INVENTORY'!$K$72/1000,4)</f>
        <v>0</v>
      </c>
      <c r="R24" s="35">
        <f t="shared" si="7"/>
        <v>0</v>
      </c>
      <c r="S24" s="1">
        <v>0</v>
      </c>
      <c r="T24" s="1">
        <v>0</v>
      </c>
      <c r="U24" s="35">
        <f t="shared" si="8"/>
        <v>0</v>
      </c>
      <c r="V24" s="1">
        <f>'[3]OIL&amp;PROPANE INVENTORY'!$K$75</f>
        <v>41163.230000000003</v>
      </c>
      <c r="W24" s="1">
        <f>ROUND('[3]OIL&amp;PROPANE INVENTORY'!$K$76/1000,4)</f>
        <v>5304.9576999999999</v>
      </c>
      <c r="X24" s="35">
        <f t="shared" si="9"/>
        <v>128.87612803951487</v>
      </c>
      <c r="Z24" s="38">
        <f t="shared" si="10"/>
        <v>0</v>
      </c>
      <c r="AA24" s="38">
        <f t="shared" si="10"/>
        <v>0</v>
      </c>
    </row>
    <row r="25" spans="1:27" s="2" customFormat="1" ht="14.1" customHeight="1" x14ac:dyDescent="0.2">
      <c r="A25" s="11">
        <v>14</v>
      </c>
      <c r="B25" s="20"/>
      <c r="C25" s="20"/>
      <c r="D25" s="8" t="s">
        <v>45</v>
      </c>
      <c r="E25" s="8" t="s">
        <v>36</v>
      </c>
      <c r="F25" s="1"/>
      <c r="G25" s="1">
        <f t="shared" si="11"/>
        <v>41163.230000000003</v>
      </c>
      <c r="H25" s="1">
        <f>ROUND('[3]OIL&amp;PROPANE INVENTORY'!$L$56/1000,4)</f>
        <v>5304.9576999999999</v>
      </c>
      <c r="I25" s="35">
        <f t="shared" si="5"/>
        <v>128.87612803951487</v>
      </c>
      <c r="J25" s="1">
        <f>'[3]OIL&amp;PROPANE INVENTORY'!$L$59</f>
        <v>0</v>
      </c>
      <c r="K25" s="1">
        <f>ROUND('[3]OIL&amp;PROPANE INVENTORY'!$L$60/1000,4)</f>
        <v>0</v>
      </c>
      <c r="L25" s="35">
        <f t="shared" si="1"/>
        <v>0</v>
      </c>
      <c r="M25" s="1">
        <f>'[3]OIL&amp;PROPANE INVENTORY'!$L$67</f>
        <v>500</v>
      </c>
      <c r="N25" s="1">
        <f>ROUND('[3]OIL&amp;PROPANE INVENTORY'!$L$68/1000,4)</f>
        <v>64.438100000000006</v>
      </c>
      <c r="O25" s="35">
        <f t="shared" si="6"/>
        <v>128.87620000000001</v>
      </c>
      <c r="P25" s="1">
        <f>'[3]OIL&amp;PROPANE INVENTORY'!$L$71</f>
        <v>0</v>
      </c>
      <c r="Q25" s="1">
        <f>ROUND('[3]OIL&amp;PROPANE INVENTORY'!$L$72/1000,4)</f>
        <v>0</v>
      </c>
      <c r="R25" s="35">
        <f t="shared" si="7"/>
        <v>0</v>
      </c>
      <c r="S25" s="1">
        <v>0</v>
      </c>
      <c r="T25" s="1">
        <v>0</v>
      </c>
      <c r="U25" s="35">
        <f t="shared" si="8"/>
        <v>0</v>
      </c>
      <c r="V25" s="1">
        <f>'[3]OIL&amp;PROPANE INVENTORY'!$L$75</f>
        <v>40663.230000000003</v>
      </c>
      <c r="W25" s="1">
        <f>ROUND('[3]OIL&amp;PROPANE INVENTORY'!$L$76/1000,4)</f>
        <v>5240.5196999999998</v>
      </c>
      <c r="X25" s="35">
        <f t="shared" si="9"/>
        <v>128.87612961390425</v>
      </c>
      <c r="Z25" s="38">
        <f t="shared" si="10"/>
        <v>0</v>
      </c>
      <c r="AA25" s="38">
        <f t="shared" si="10"/>
        <v>-1.0000000020227162E-4</v>
      </c>
    </row>
    <row r="26" spans="1:27" s="2" customFormat="1" ht="14.1" customHeight="1" x14ac:dyDescent="0.2">
      <c r="A26" s="11">
        <v>15</v>
      </c>
      <c r="B26" s="20"/>
      <c r="C26" s="20"/>
      <c r="D26" s="1" t="s">
        <v>46</v>
      </c>
      <c r="E26" s="8" t="s">
        <v>36</v>
      </c>
      <c r="F26" s="1"/>
      <c r="G26" s="1">
        <f t="shared" si="11"/>
        <v>40663.230000000003</v>
      </c>
      <c r="H26" s="1">
        <f>ROUND('[3]OIL&amp;PROPANE INVENTORY'!$M$56/1000,4)</f>
        <v>5240.5196999999998</v>
      </c>
      <c r="I26" s="35">
        <f t="shared" si="5"/>
        <v>128.87612961390425</v>
      </c>
      <c r="J26" s="1">
        <f>'[3]OIL&amp;PROPANE INVENTORY'!$M$59</f>
        <v>0</v>
      </c>
      <c r="K26" s="1">
        <f>ROUND('[3]OIL&amp;PROPANE INVENTORY'!$M$60/1000,4)</f>
        <v>0</v>
      </c>
      <c r="L26" s="35">
        <f t="shared" si="1"/>
        <v>0</v>
      </c>
      <c r="M26" s="1">
        <f>'[3]OIL&amp;PROPANE INVENTORY'!$M$67</f>
        <v>500</v>
      </c>
      <c r="N26" s="1">
        <f>ROUND('[3]OIL&amp;PROPANE INVENTORY'!$M$68/1000,4)</f>
        <v>64.438100000000006</v>
      </c>
      <c r="O26" s="35">
        <f t="shared" si="6"/>
        <v>128.87620000000001</v>
      </c>
      <c r="P26" s="1">
        <f>'[3]OIL&amp;PROPANE INVENTORY'!$M$71</f>
        <v>0</v>
      </c>
      <c r="Q26" s="1">
        <f>ROUND('[3]OIL&amp;PROPANE INVENTORY'!$M$72/1000,4)</f>
        <v>0</v>
      </c>
      <c r="R26" s="35">
        <f t="shared" si="7"/>
        <v>0</v>
      </c>
      <c r="S26" s="1">
        <v>0</v>
      </c>
      <c r="T26" s="1">
        <v>0</v>
      </c>
      <c r="U26" s="35">
        <f t="shared" si="8"/>
        <v>0</v>
      </c>
      <c r="V26" s="1">
        <f>'[3]OIL&amp;PROPANE INVENTORY'!$M$75</f>
        <v>40163.230000000003</v>
      </c>
      <c r="W26" s="1">
        <f>ROUND('[3]OIL&amp;PROPANE INVENTORY'!$M$76/1000,4)</f>
        <v>5176.0816000000004</v>
      </c>
      <c r="X26" s="35">
        <f t="shared" si="9"/>
        <v>128.87612873765383</v>
      </c>
      <c r="Z26" s="38">
        <f t="shared" si="10"/>
        <v>0</v>
      </c>
      <c r="AA26" s="38">
        <f t="shared" si="10"/>
        <v>0</v>
      </c>
    </row>
    <row r="27" spans="1:27" s="2" customFormat="1" ht="14.1" customHeight="1" x14ac:dyDescent="0.2">
      <c r="A27" s="11">
        <v>16</v>
      </c>
      <c r="B27" s="20"/>
      <c r="C27" s="20"/>
      <c r="D27" s="8" t="s">
        <v>33</v>
      </c>
      <c r="E27" s="8" t="s">
        <v>36</v>
      </c>
      <c r="F27" s="1"/>
      <c r="G27" s="1">
        <f t="shared" si="11"/>
        <v>40163.230000000003</v>
      </c>
      <c r="H27" s="1">
        <f>ROUND('[3]OIL&amp;PROPANE INVENTORY'!$N$56/1000,4)</f>
        <v>5176.0816000000004</v>
      </c>
      <c r="I27" s="35">
        <f t="shared" si="5"/>
        <v>128.87612873765383</v>
      </c>
      <c r="J27" s="1">
        <f>'[3]OIL&amp;PROPANE INVENTORY'!$N$59</f>
        <v>0</v>
      </c>
      <c r="K27" s="1">
        <f>ROUND('[3]OIL&amp;PROPANE INVENTORY'!$N$60/1000,4)</f>
        <v>0</v>
      </c>
      <c r="L27" s="35">
        <f t="shared" si="1"/>
        <v>0</v>
      </c>
      <c r="M27" s="1">
        <f>'[3]OIL&amp;PROPANE INVENTORY'!$N$67</f>
        <v>500</v>
      </c>
      <c r="N27" s="1">
        <f>ROUND('[3]OIL&amp;PROPANE INVENTORY'!$N$68/1000,4)</f>
        <v>64.438100000000006</v>
      </c>
      <c r="O27" s="35">
        <f t="shared" si="6"/>
        <v>128.87620000000001</v>
      </c>
      <c r="P27" s="1">
        <f>'[3]OIL&amp;PROPANE INVENTORY'!$N$71</f>
        <v>0</v>
      </c>
      <c r="Q27" s="1">
        <f>ROUND('[3]OIL&amp;PROPANE INVENTORY'!$N$72/1000,4)</f>
        <v>0</v>
      </c>
      <c r="R27" s="35">
        <f t="shared" si="7"/>
        <v>0</v>
      </c>
      <c r="S27" s="1">
        <v>0</v>
      </c>
      <c r="T27" s="1">
        <v>0</v>
      </c>
      <c r="U27" s="35">
        <f t="shared" si="8"/>
        <v>0</v>
      </c>
      <c r="V27" s="1">
        <f>'[3]OIL&amp;PROPANE INVENTORY'!$N$75</f>
        <v>39663.230000000003</v>
      </c>
      <c r="W27" s="1">
        <f>ROUND('[3]OIL&amp;PROPANE INVENTORY'!$N$76/1000,4)</f>
        <v>5111.6435000000001</v>
      </c>
      <c r="X27" s="35">
        <f t="shared" si="9"/>
        <v>128.8761278393111</v>
      </c>
      <c r="Y27" s="4"/>
      <c r="Z27" s="38">
        <f t="shared" si="10"/>
        <v>0</v>
      </c>
      <c r="AA27" s="38">
        <f t="shared" si="10"/>
        <v>0</v>
      </c>
    </row>
    <row r="28" spans="1:27" ht="14.1" customHeight="1" thickBot="1" x14ac:dyDescent="0.25">
      <c r="A28" s="11">
        <v>17</v>
      </c>
      <c r="C28" s="58" t="s">
        <v>47</v>
      </c>
      <c r="D28" s="1"/>
      <c r="E28" s="1"/>
      <c r="F28" s="35"/>
      <c r="G28" s="1"/>
      <c r="H28" s="1"/>
      <c r="I28" s="35"/>
      <c r="J28" s="22">
        <f>SUM(J16:J27)</f>
        <v>7143</v>
      </c>
      <c r="K28" s="23">
        <f>SUM(K16:K27)</f>
        <v>769.24969999999996</v>
      </c>
      <c r="L28" s="24">
        <f t="shared" si="12"/>
        <v>107.69</v>
      </c>
      <c r="M28" s="22">
        <f>SUM(M16:M27)</f>
        <v>5500</v>
      </c>
      <c r="N28" s="23">
        <f>SUM(N16:N27)</f>
        <v>716.21629999999982</v>
      </c>
      <c r="O28" s="24">
        <f>IF(N28&gt;0,ROUND((N28*1000)/M28,2),4)</f>
        <v>130.22</v>
      </c>
      <c r="P28" s="22">
        <f>SUM(P16:P27)</f>
        <v>0</v>
      </c>
      <c r="Q28" s="23">
        <f>SUM(Q16:Q27)</f>
        <v>0</v>
      </c>
      <c r="R28" s="24">
        <v>0</v>
      </c>
      <c r="S28" s="22">
        <f>SUM(S15:S27)</f>
        <v>0</v>
      </c>
      <c r="T28" s="23">
        <f>SUM(T15:T27)</f>
        <v>0</v>
      </c>
      <c r="U28" s="24">
        <v>0</v>
      </c>
      <c r="V28" s="12"/>
      <c r="W28" s="12"/>
      <c r="X28" s="19"/>
    </row>
    <row r="29" spans="1:27" ht="14.1" customHeight="1" thickTop="1" x14ac:dyDescent="0.2">
      <c r="A29" s="11">
        <v>18</v>
      </c>
      <c r="D29" s="1"/>
      <c r="E29" s="1"/>
      <c r="F29" s="35"/>
      <c r="G29" s="1"/>
      <c r="H29" s="12"/>
      <c r="I29" s="59"/>
      <c r="J29" s="12"/>
      <c r="K29" s="12"/>
      <c r="L29" s="59"/>
      <c r="M29" s="12"/>
      <c r="N29" s="12"/>
      <c r="O29" s="59"/>
      <c r="P29" s="12"/>
      <c r="Q29" s="12"/>
      <c r="R29" s="59"/>
      <c r="S29" s="12"/>
      <c r="T29" s="12"/>
      <c r="U29" s="59"/>
      <c r="V29" s="12"/>
      <c r="W29" s="12"/>
      <c r="X29" s="59"/>
    </row>
    <row r="30" spans="1:27" ht="14.1" customHeight="1" thickBot="1" x14ac:dyDescent="0.25">
      <c r="A30" s="11">
        <v>19</v>
      </c>
      <c r="B30" s="52"/>
      <c r="C30" s="58" t="s">
        <v>48</v>
      </c>
      <c r="D30" s="1"/>
      <c r="E30" s="1"/>
      <c r="F30" s="35"/>
      <c r="G30" s="25">
        <f>AVERAGE(G15:G27)</f>
        <v>39674.153076923074</v>
      </c>
      <c r="H30" s="26">
        <f>AVERAGE(H15:H27)</f>
        <v>5185.6334118531322</v>
      </c>
      <c r="I30" s="74">
        <v>0</v>
      </c>
      <c r="J30" s="25">
        <f>AVERAGE(J15:J27)</f>
        <v>549.46153846153845</v>
      </c>
      <c r="K30" s="26">
        <f>AVERAGE(K15:K27)</f>
        <v>59.173053846153842</v>
      </c>
      <c r="L30" s="74">
        <v>0</v>
      </c>
      <c r="M30" s="25">
        <f>AVERAGE(M15:M27)</f>
        <v>461.53846153846155</v>
      </c>
      <c r="N30" s="26">
        <f>AVERAGE(N15:N27)</f>
        <v>60.210887692307679</v>
      </c>
      <c r="O30" s="74">
        <v>0</v>
      </c>
      <c r="P30" s="25">
        <f>AVERAGE(P15:P27)</f>
        <v>0</v>
      </c>
      <c r="Q30" s="26">
        <f>IFERROR(P30*1000/O30,0)</f>
        <v>0</v>
      </c>
      <c r="R30" s="74">
        <v>0</v>
      </c>
      <c r="S30" s="25">
        <f>AVERAGE(S15:S27)</f>
        <v>0</v>
      </c>
      <c r="T30" s="26">
        <f>AVERAGE(T15:T27)</f>
        <v>0</v>
      </c>
      <c r="U30" s="74">
        <v>0</v>
      </c>
      <c r="V30" s="25">
        <f>AVERAGE(V15:V27)</f>
        <v>39762.076153846152</v>
      </c>
      <c r="W30" s="26">
        <f>AVERAGE(W15:W27)</f>
        <v>5184.595578006978</v>
      </c>
      <c r="X30" s="74">
        <v>0</v>
      </c>
    </row>
    <row r="31" spans="1:27" ht="14.1" customHeight="1" thickTop="1" x14ac:dyDescent="0.2">
      <c r="A31" s="11">
        <v>20</v>
      </c>
      <c r="B31" s="11" t="s">
        <v>49</v>
      </c>
      <c r="C31" s="11" t="s">
        <v>50</v>
      </c>
      <c r="D31" s="3"/>
      <c r="F31" s="4"/>
      <c r="G31" s="4"/>
      <c r="H31" s="4"/>
      <c r="I31" s="4"/>
      <c r="J31" s="2"/>
      <c r="K31" s="4"/>
      <c r="L31" s="2"/>
      <c r="M31" s="4"/>
      <c r="N31" s="4"/>
      <c r="O31" s="4"/>
      <c r="P31" s="4"/>
      <c r="Q31" s="4"/>
      <c r="R31" s="4"/>
      <c r="S31" s="4"/>
      <c r="V31" s="2"/>
      <c r="W31" s="2"/>
    </row>
    <row r="32" spans="1:27" ht="14.1" customHeight="1" x14ac:dyDescent="0.2">
      <c r="A32" s="11">
        <v>21</v>
      </c>
      <c r="C32" s="11" t="s">
        <v>51</v>
      </c>
      <c r="D32" s="3"/>
      <c r="F32" s="4"/>
      <c r="G32" s="4"/>
      <c r="H32" s="4"/>
      <c r="I32" s="4"/>
      <c r="J32" s="2"/>
      <c r="K32" s="4"/>
      <c r="L32" s="2"/>
      <c r="M32" s="4"/>
      <c r="N32" s="4"/>
      <c r="O32" s="4"/>
      <c r="P32" s="4"/>
      <c r="Q32" s="4"/>
      <c r="R32" s="4"/>
      <c r="S32" s="4"/>
      <c r="V32" s="2"/>
      <c r="W32" s="2"/>
    </row>
    <row r="33" spans="1:27" ht="14.1" customHeight="1" thickBot="1" x14ac:dyDescent="0.25">
      <c r="A33" s="34">
        <v>22</v>
      </c>
      <c r="B33" s="60"/>
      <c r="C33" s="34"/>
      <c r="D33" s="5"/>
      <c r="E33" s="3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34"/>
      <c r="U33" s="34"/>
      <c r="V33" s="34"/>
      <c r="W33" s="34"/>
      <c r="X33" s="34"/>
    </row>
    <row r="34" spans="1:27" ht="14.1" customHeight="1" x14ac:dyDescent="0.2">
      <c r="A34" s="11" t="s">
        <v>52</v>
      </c>
      <c r="S34" s="4"/>
      <c r="V34" s="11" t="s">
        <v>53</v>
      </c>
    </row>
    <row r="35" spans="1:27" ht="14.1" customHeight="1" thickBot="1" x14ac:dyDescent="0.25">
      <c r="A35" s="34" t="s">
        <v>0</v>
      </c>
      <c r="B35" s="34"/>
      <c r="C35" s="34"/>
      <c r="D35" s="34"/>
      <c r="E35" s="77" t="s">
        <v>1</v>
      </c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34"/>
      <c r="V35" s="34"/>
      <c r="W35" s="34"/>
      <c r="X35" s="34" t="s">
        <v>54</v>
      </c>
    </row>
    <row r="36" spans="1:27" ht="14.1" customHeight="1" x14ac:dyDescent="0.2">
      <c r="A36" s="11" t="s">
        <v>3</v>
      </c>
      <c r="H36" s="11" t="s">
        <v>4</v>
      </c>
      <c r="J36" s="11" t="s">
        <v>5</v>
      </c>
      <c r="K36" s="42"/>
      <c r="L36" s="42"/>
      <c r="N36" s="42"/>
      <c r="O36" s="42"/>
      <c r="T36" s="32"/>
      <c r="U36" s="42" t="s">
        <v>6</v>
      </c>
      <c r="X36" s="32"/>
    </row>
    <row r="37" spans="1:27" ht="14.1" customHeight="1" x14ac:dyDescent="0.2">
      <c r="J37" s="11" t="s">
        <v>7</v>
      </c>
      <c r="K37" s="43"/>
      <c r="L37" s="32"/>
      <c r="O37" s="43"/>
      <c r="T37" s="32"/>
      <c r="U37" s="43" t="s">
        <v>8</v>
      </c>
      <c r="V37" s="32" t="s">
        <v>9</v>
      </c>
      <c r="X37" s="43"/>
    </row>
    <row r="38" spans="1:27" ht="14.1" customHeight="1" x14ac:dyDescent="0.2">
      <c r="A38" s="11" t="s">
        <v>10</v>
      </c>
      <c r="J38" s="11" t="s">
        <v>11</v>
      </c>
      <c r="K38" s="43"/>
      <c r="L38" s="32"/>
      <c r="M38" s="43"/>
      <c r="T38" s="32"/>
      <c r="U38" s="43"/>
      <c r="V38" s="32" t="s">
        <v>12</v>
      </c>
      <c r="X38" s="43"/>
    </row>
    <row r="39" spans="1:27" ht="14.1" customHeight="1" x14ac:dyDescent="0.2">
      <c r="K39" s="43"/>
      <c r="L39" s="32"/>
      <c r="M39" s="43"/>
      <c r="T39" s="32"/>
      <c r="V39" s="32" t="s">
        <v>13</v>
      </c>
      <c r="X39" s="43"/>
    </row>
    <row r="40" spans="1:27" ht="14.1" customHeight="1" thickBot="1" x14ac:dyDescent="0.25">
      <c r="A40" s="34" t="s">
        <v>14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6"/>
      <c r="T40" s="34"/>
      <c r="U40" s="34"/>
      <c r="V40" s="34" t="s">
        <v>79</v>
      </c>
      <c r="W40" s="34"/>
      <c r="X40" s="34"/>
    </row>
    <row r="41" spans="1:27" ht="14.1" customHeight="1" x14ac:dyDescent="0.2"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15"/>
    </row>
    <row r="42" spans="1:27" ht="14.1" customHeight="1" x14ac:dyDescent="0.2"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15"/>
    </row>
    <row r="43" spans="1:27" ht="14.1" customHeight="1" x14ac:dyDescent="0.2">
      <c r="B43" s="40" t="s">
        <v>15</v>
      </c>
      <c r="C43" s="40"/>
      <c r="D43" s="40"/>
      <c r="E43" s="40"/>
      <c r="F43" s="40"/>
      <c r="G43" s="46"/>
      <c r="H43" s="46" t="s">
        <v>16</v>
      </c>
      <c r="I43" s="46"/>
      <c r="J43" s="47"/>
      <c r="K43" s="46" t="s">
        <v>17</v>
      </c>
      <c r="L43" s="47"/>
      <c r="M43" s="47"/>
      <c r="N43" s="47" t="s">
        <v>18</v>
      </c>
      <c r="O43" s="46"/>
      <c r="P43" s="46"/>
      <c r="Q43" s="47" t="s">
        <v>19</v>
      </c>
      <c r="R43" s="46"/>
      <c r="S43" s="16"/>
      <c r="T43" s="47" t="s">
        <v>20</v>
      </c>
      <c r="U43" s="47"/>
      <c r="V43" s="48"/>
      <c r="W43" s="46" t="s">
        <v>21</v>
      </c>
      <c r="X43" s="48"/>
    </row>
    <row r="44" spans="1:27" ht="14.1" customHeight="1" x14ac:dyDescent="0.2">
      <c r="A44" s="11" t="s">
        <v>22</v>
      </c>
      <c r="B44" s="32" t="s">
        <v>23</v>
      </c>
      <c r="C44" s="40"/>
      <c r="D44" s="40" t="s">
        <v>24</v>
      </c>
      <c r="E44" s="40" t="s">
        <v>25</v>
      </c>
      <c r="F44" s="40"/>
      <c r="G44" s="44" t="s">
        <v>26</v>
      </c>
      <c r="H44" s="40" t="s">
        <v>27</v>
      </c>
      <c r="I44" s="40" t="s">
        <v>28</v>
      </c>
      <c r="J44" s="44" t="s">
        <v>26</v>
      </c>
      <c r="K44" s="40" t="s">
        <v>27</v>
      </c>
      <c r="L44" s="40" t="s">
        <v>28</v>
      </c>
      <c r="M44" s="44" t="s">
        <v>26</v>
      </c>
      <c r="N44" s="40" t="s">
        <v>27</v>
      </c>
      <c r="O44" s="40" t="s">
        <v>28</v>
      </c>
      <c r="P44" s="44" t="s">
        <v>26</v>
      </c>
      <c r="Q44" s="40" t="s">
        <v>27</v>
      </c>
      <c r="R44" s="40" t="s">
        <v>28</v>
      </c>
      <c r="S44" s="17" t="s">
        <v>26</v>
      </c>
      <c r="T44" s="40" t="s">
        <v>27</v>
      </c>
      <c r="U44" s="40" t="s">
        <v>28</v>
      </c>
      <c r="V44" s="44" t="s">
        <v>26</v>
      </c>
      <c r="W44" s="40" t="s">
        <v>27</v>
      </c>
      <c r="X44" s="40" t="s">
        <v>28</v>
      </c>
    </row>
    <row r="45" spans="1:27" ht="14.1" customHeight="1" thickBot="1" x14ac:dyDescent="0.25">
      <c r="A45" s="34" t="s">
        <v>29</v>
      </c>
      <c r="B45" s="41"/>
      <c r="C45" s="41"/>
      <c r="D45" s="41"/>
      <c r="E45" s="41"/>
      <c r="F45" s="41"/>
      <c r="G45" s="49"/>
      <c r="H45" s="41"/>
      <c r="I45" s="49"/>
      <c r="J45" s="49"/>
      <c r="K45" s="49"/>
      <c r="L45" s="49"/>
      <c r="M45" s="50"/>
      <c r="N45" s="49"/>
      <c r="O45" s="51"/>
      <c r="P45" s="50"/>
      <c r="Q45" s="49"/>
      <c r="R45" s="49"/>
      <c r="S45" s="18"/>
      <c r="T45" s="34"/>
      <c r="U45" s="34"/>
      <c r="V45" s="34"/>
      <c r="W45" s="34"/>
      <c r="X45" s="34"/>
    </row>
    <row r="46" spans="1:27" ht="14.1" customHeight="1" x14ac:dyDescent="0.2">
      <c r="A46" s="11">
        <v>1</v>
      </c>
      <c r="B46" s="52" t="s">
        <v>55</v>
      </c>
      <c r="S46" s="20"/>
      <c r="W46" s="53"/>
      <c r="X46" s="53"/>
    </row>
    <row r="47" spans="1:27" ht="14.1" customHeight="1" x14ac:dyDescent="0.2">
      <c r="A47" s="11">
        <v>2</v>
      </c>
      <c r="B47" s="11" t="s">
        <v>56</v>
      </c>
      <c r="D47" s="12"/>
      <c r="E47" s="12"/>
      <c r="F47" s="35"/>
      <c r="G47" s="12"/>
      <c r="H47" s="12"/>
      <c r="I47" s="35"/>
      <c r="J47" s="12"/>
      <c r="K47" s="12"/>
      <c r="L47" s="35"/>
      <c r="M47" s="1"/>
      <c r="N47" s="12"/>
      <c r="O47" s="35"/>
      <c r="P47" s="1"/>
      <c r="Q47" s="1"/>
      <c r="R47" s="1"/>
      <c r="S47" s="12"/>
      <c r="T47" s="12"/>
      <c r="U47" s="35"/>
      <c r="V47" s="1"/>
      <c r="W47" s="1"/>
      <c r="X47" s="1"/>
    </row>
    <row r="48" spans="1:27" ht="14.1" customHeight="1" x14ac:dyDescent="0.2">
      <c r="A48" s="11">
        <v>3</v>
      </c>
      <c r="D48" s="12"/>
      <c r="E48" s="12"/>
      <c r="F48" s="35"/>
      <c r="G48" s="12"/>
      <c r="H48" s="12"/>
      <c r="I48" s="35"/>
      <c r="J48" s="1"/>
      <c r="K48" s="12"/>
      <c r="L48" s="13"/>
      <c r="M48" s="1"/>
      <c r="N48" s="12"/>
      <c r="O48" s="35"/>
      <c r="P48" s="1"/>
      <c r="Q48" s="1"/>
      <c r="R48" s="1"/>
      <c r="S48" s="12"/>
      <c r="T48" s="12"/>
      <c r="U48" s="35"/>
      <c r="V48" s="1"/>
      <c r="W48" s="1"/>
      <c r="X48" s="35"/>
      <c r="Z48" s="55" t="s">
        <v>32</v>
      </c>
      <c r="AA48" s="55" t="s">
        <v>32</v>
      </c>
    </row>
    <row r="49" spans="1:28" ht="14.1" customHeight="1" x14ac:dyDescent="0.2">
      <c r="A49" s="11">
        <v>4</v>
      </c>
      <c r="D49" s="8" t="s">
        <v>33</v>
      </c>
      <c r="E49" s="8" t="s">
        <v>34</v>
      </c>
      <c r="F49" s="35"/>
      <c r="G49" s="1">
        <f>[4]COAL!$L$45</f>
        <v>302573.20814719563</v>
      </c>
      <c r="H49" s="14">
        <f>([4]COAL!$L$49/1000)</f>
        <v>28726.12296943914</v>
      </c>
      <c r="I49" s="13">
        <f>H49*1000/G49</f>
        <v>94.939413655767154</v>
      </c>
      <c r="J49" s="1">
        <f>+'[2]MFRB-18'!$J$61</f>
        <v>7500</v>
      </c>
      <c r="K49" s="1">
        <f>+'[2]MFRB-18'!$K$61</f>
        <v>651.98751322410624</v>
      </c>
      <c r="L49" s="64">
        <f t="shared" ref="L49" si="13">IFERROR(K49*1000/J49,0)</f>
        <v>86.931668429880844</v>
      </c>
      <c r="M49" s="1">
        <f>+'[2]MFRB-18'!$M$61</f>
        <v>498</v>
      </c>
      <c r="N49" s="1">
        <f>+'[2]MFRB-18'!$N$61</f>
        <v>69</v>
      </c>
      <c r="O49" s="64">
        <f t="shared" ref="O49" si="14">IFERROR(N49*1000/M49,0)</f>
        <v>138.55421686746988</v>
      </c>
      <c r="P49" s="1">
        <v>0</v>
      </c>
      <c r="Q49" s="65">
        <f>ROUND(SUM([4]COAL!$M$30:$M$33)/1000,4)</f>
        <v>44.261000000000003</v>
      </c>
      <c r="R49" s="1">
        <f t="shared" ref="R49" si="15">IFERROR(Q49*1000/P49,0)</f>
        <v>0</v>
      </c>
      <c r="S49" s="1">
        <f>+'[2]MFRB-18'!$S$61</f>
        <v>0</v>
      </c>
      <c r="T49" s="1">
        <f>+'[2]MFRB-18'!$T$61</f>
        <v>0</v>
      </c>
      <c r="U49" s="1">
        <f t="shared" ref="U49" si="16">IFERROR(T49*1000/S49,0)</f>
        <v>0</v>
      </c>
      <c r="V49" s="1">
        <f>[4]COAL!$M$45</f>
        <v>309575.21498192742</v>
      </c>
      <c r="W49" s="1">
        <f>ROUND([4]COAL!$M$49/1000,4)</f>
        <v>29309.298500000001</v>
      </c>
      <c r="X49" s="64">
        <f t="shared" ref="X49" si="17">IFERROR(W49*1000/V49,0)</f>
        <v>94.675856081408313</v>
      </c>
      <c r="Y49" s="61"/>
      <c r="Z49" s="56">
        <f>+G49+J49-M49+S49-V49</f>
        <v>-6.8347317865118384E-3</v>
      </c>
      <c r="AA49" s="56">
        <f>+H49+K49-N49+T49-W49</f>
        <v>-0.18801733675354626</v>
      </c>
      <c r="AB49" s="62"/>
    </row>
    <row r="50" spans="1:28" s="2" customFormat="1" ht="14.1" customHeight="1" x14ac:dyDescent="0.2">
      <c r="A50" s="11">
        <v>5</v>
      </c>
      <c r="B50" s="36"/>
      <c r="C50" s="20"/>
      <c r="D50" s="1" t="s">
        <v>35</v>
      </c>
      <c r="E50" s="8" t="s">
        <v>36</v>
      </c>
      <c r="F50" s="1"/>
      <c r="G50" s="1">
        <f>+V49</f>
        <v>309575.21498192742</v>
      </c>
      <c r="H50" s="1">
        <f>+W49</f>
        <v>29309.298500000001</v>
      </c>
      <c r="I50" s="63">
        <f t="shared" ref="I50:I61" si="18">IFERROR(H50*1000/G50,0)</f>
        <v>94.675856081408313</v>
      </c>
      <c r="J50" s="1">
        <f>[3]COAL!$B$4</f>
        <v>14500</v>
      </c>
      <c r="K50" s="1">
        <f>ROUND([3]COAL!$B$8/1000,4)</f>
        <v>1274.691</v>
      </c>
      <c r="L50" s="64">
        <f t="shared" ref="L50:L61" si="19">IFERROR(K50*1000/J50,0)</f>
        <v>87.909724137931036</v>
      </c>
      <c r="M50" s="1">
        <v>0</v>
      </c>
      <c r="N50" s="1">
        <f>ROUND(SUM([3]COAL!$B$26:$B$29)/1000,4)</f>
        <v>0</v>
      </c>
      <c r="O50" s="64">
        <f t="shared" ref="O50:O61" si="20">IFERROR(N50*1000/M50,0)</f>
        <v>0</v>
      </c>
      <c r="P50" s="1">
        <v>0</v>
      </c>
      <c r="Q50" s="65">
        <f>ROUND(SUM([3]COAL!$B$30:$B$33)/1000,4)</f>
        <v>54.451000000000001</v>
      </c>
      <c r="R50" s="1">
        <f t="shared" ref="R50:R61" si="21">IFERROR(Q50*1000/P50,0)</f>
        <v>0</v>
      </c>
      <c r="S50" s="1">
        <v>0</v>
      </c>
      <c r="T50" s="1">
        <v>0</v>
      </c>
      <c r="U50" s="1">
        <f t="shared" ref="U50:U62" si="22">IFERROR(T50*1000/S50,0)</f>
        <v>0</v>
      </c>
      <c r="V50" s="1">
        <f>[3]COAL!$B$45</f>
        <v>324075.21498192742</v>
      </c>
      <c r="W50" s="1">
        <f>ROUND([3]COAL!$B$49/1000,4)</f>
        <v>30583.9899</v>
      </c>
      <c r="X50" s="64">
        <f t="shared" ref="X50:X61" si="23">IFERROR(W50*1000/V50,0)</f>
        <v>94.373122306516308</v>
      </c>
      <c r="Y50" s="37"/>
      <c r="Z50" s="56">
        <f t="shared" ref="Z50:Z61" si="24">+G50+J50-M50+S50-V50</f>
        <v>0</v>
      </c>
      <c r="AA50" s="38">
        <f>+H50+K50-N50+T50-W50</f>
        <v>-4.0000000080908649E-4</v>
      </c>
    </row>
    <row r="51" spans="1:28" s="2" customFormat="1" ht="14.1" customHeight="1" x14ac:dyDescent="0.2">
      <c r="A51" s="11">
        <v>6</v>
      </c>
      <c r="B51" s="20"/>
      <c r="C51" s="20"/>
      <c r="D51" s="8" t="s">
        <v>37</v>
      </c>
      <c r="E51" s="8" t="s">
        <v>36</v>
      </c>
      <c r="F51" s="1"/>
      <c r="G51" s="1">
        <f t="shared" ref="G51:G61" si="25">+V50</f>
        <v>324075.21498192742</v>
      </c>
      <c r="H51" s="1">
        <f t="shared" ref="H51:H61" si="26">+W50</f>
        <v>30583.9899</v>
      </c>
      <c r="I51" s="63">
        <f t="shared" si="18"/>
        <v>94.373122306516308</v>
      </c>
      <c r="J51" s="1">
        <f>[3]COAL!$C$4</f>
        <v>14500</v>
      </c>
      <c r="K51" s="1">
        <f>ROUND([3]COAL!$C$8/1000,4)</f>
        <v>1274.691</v>
      </c>
      <c r="L51" s="64">
        <f t="shared" si="19"/>
        <v>87.909724137931036</v>
      </c>
      <c r="M51" s="1">
        <v>359</v>
      </c>
      <c r="N51" s="1">
        <f>ROUND(SUM([3]COAL!$C$26:$C$29)/1000,4)</f>
        <v>49.627000000000002</v>
      </c>
      <c r="O51" s="64">
        <f t="shared" si="20"/>
        <v>138.23676880222843</v>
      </c>
      <c r="P51" s="1">
        <v>0</v>
      </c>
      <c r="Q51" s="65">
        <f>ROUND(SUM([3]COAL!$C$30:$C$33)/1000,4)</f>
        <v>82.581000000000003</v>
      </c>
      <c r="R51" s="1">
        <f t="shared" si="21"/>
        <v>0</v>
      </c>
      <c r="S51" s="1">
        <v>0</v>
      </c>
      <c r="T51" s="1">
        <v>0</v>
      </c>
      <c r="U51" s="1">
        <f t="shared" si="22"/>
        <v>0</v>
      </c>
      <c r="V51" s="1">
        <f>[3]COAL!$C$45</f>
        <v>338216.06269780273</v>
      </c>
      <c r="W51" s="1">
        <f>ROUND([3]COAL!$C$49/1000,4)</f>
        <v>31809.054100000001</v>
      </c>
      <c r="X51" s="64">
        <f t="shared" si="23"/>
        <v>94.0495074251441</v>
      </c>
      <c r="Y51" s="37"/>
      <c r="Z51" s="38">
        <f t="shared" si="24"/>
        <v>0.15228412469150499</v>
      </c>
      <c r="AA51" s="38">
        <f t="shared" ref="AA51:AA61" si="27">+H51+K51-N51+T51-W51</f>
        <v>-2.0000000222353265E-4</v>
      </c>
    </row>
    <row r="52" spans="1:28" s="2" customFormat="1" ht="14.1" customHeight="1" x14ac:dyDescent="0.2">
      <c r="A52" s="11">
        <v>7</v>
      </c>
      <c r="B52" s="20"/>
      <c r="C52" s="20"/>
      <c r="D52" s="1" t="s">
        <v>38</v>
      </c>
      <c r="E52" s="8" t="s">
        <v>36</v>
      </c>
      <c r="F52" s="1"/>
      <c r="G52" s="1">
        <f t="shared" si="25"/>
        <v>338216.06269780273</v>
      </c>
      <c r="H52" s="1">
        <f t="shared" si="26"/>
        <v>31809.054100000001</v>
      </c>
      <c r="I52" s="63">
        <f t="shared" si="18"/>
        <v>94.0495074251441</v>
      </c>
      <c r="J52" s="1">
        <f>[3]COAL!$D$4</f>
        <v>0</v>
      </c>
      <c r="K52" s="1">
        <f>ROUND([3]COAL!$D$8/1000,4)</f>
        <v>0</v>
      </c>
      <c r="L52" s="64">
        <f t="shared" si="19"/>
        <v>0</v>
      </c>
      <c r="M52" s="1">
        <v>0</v>
      </c>
      <c r="N52" s="1">
        <f>ROUND(SUM([3]COAL!$D$26:$D$29)/1000,4)</f>
        <v>0</v>
      </c>
      <c r="O52" s="64">
        <f t="shared" si="20"/>
        <v>0</v>
      </c>
      <c r="P52" s="1">
        <v>0</v>
      </c>
      <c r="Q52" s="65">
        <f>ROUND(SUM([3]COAL!$D$30:$D$33)/1000,4)</f>
        <v>23.155000000000001</v>
      </c>
      <c r="R52" s="1">
        <f t="shared" si="21"/>
        <v>0</v>
      </c>
      <c r="S52" s="1">
        <v>0</v>
      </c>
      <c r="T52" s="1">
        <v>0</v>
      </c>
      <c r="U52" s="1">
        <f t="shared" si="22"/>
        <v>0</v>
      </c>
      <c r="V52" s="1">
        <f>[3]COAL!$D$45</f>
        <v>338216.06269780273</v>
      </c>
      <c r="W52" s="1">
        <f>ROUND([3]COAL!$D$49/1000,4)</f>
        <v>31809.054100000001</v>
      </c>
      <c r="X52" s="64">
        <f t="shared" si="23"/>
        <v>94.0495074251441</v>
      </c>
      <c r="Y52" s="37"/>
      <c r="Z52" s="38">
        <f t="shared" si="24"/>
        <v>0</v>
      </c>
      <c r="AA52" s="38">
        <f t="shared" si="27"/>
        <v>0</v>
      </c>
    </row>
    <row r="53" spans="1:28" s="2" customFormat="1" ht="14.1" customHeight="1" x14ac:dyDescent="0.2">
      <c r="A53" s="11">
        <v>8</v>
      </c>
      <c r="B53" s="20"/>
      <c r="C53" s="20"/>
      <c r="D53" s="8" t="s">
        <v>39</v>
      </c>
      <c r="E53" s="8" t="s">
        <v>36</v>
      </c>
      <c r="F53" s="1"/>
      <c r="G53" s="1">
        <f t="shared" si="25"/>
        <v>338216.06269780273</v>
      </c>
      <c r="H53" s="1">
        <f t="shared" si="26"/>
        <v>31809.054100000001</v>
      </c>
      <c r="I53" s="63">
        <f t="shared" si="18"/>
        <v>94.0495074251441</v>
      </c>
      <c r="J53" s="1">
        <f>[3]COAL!$E$4</f>
        <v>0</v>
      </c>
      <c r="K53" s="1">
        <f>ROUND([3]COAL!$E$8/1000,4)</f>
        <v>0</v>
      </c>
      <c r="L53" s="64">
        <f t="shared" si="19"/>
        <v>0</v>
      </c>
      <c r="M53" s="1">
        <v>0</v>
      </c>
      <c r="N53" s="1">
        <f>ROUND(SUM([3]COAL!$E$26:$E$29)/1000,4)</f>
        <v>0</v>
      </c>
      <c r="O53" s="64">
        <f t="shared" si="20"/>
        <v>0</v>
      </c>
      <c r="P53" s="1">
        <v>0</v>
      </c>
      <c r="Q53" s="65">
        <f>ROUND(SUM([3]COAL!$E$30:$E$33)/1000,4)</f>
        <v>17.311</v>
      </c>
      <c r="R53" s="1">
        <f t="shared" si="21"/>
        <v>0</v>
      </c>
      <c r="S53" s="1">
        <v>0</v>
      </c>
      <c r="T53" s="1">
        <v>0</v>
      </c>
      <c r="U53" s="1">
        <f t="shared" si="22"/>
        <v>0</v>
      </c>
      <c r="V53" s="1">
        <f>[3]COAL!$E$45</f>
        <v>338216.06269780273</v>
      </c>
      <c r="W53" s="1">
        <f>ROUND([3]COAL!$E$49/1000,4)</f>
        <v>31809.054100000001</v>
      </c>
      <c r="X53" s="64">
        <f t="shared" si="23"/>
        <v>94.0495074251441</v>
      </c>
      <c r="Y53" s="37"/>
      <c r="Z53" s="38">
        <f t="shared" si="24"/>
        <v>0</v>
      </c>
      <c r="AA53" s="38">
        <f t="shared" si="27"/>
        <v>0</v>
      </c>
    </row>
    <row r="54" spans="1:28" s="2" customFormat="1" ht="14.1" customHeight="1" x14ac:dyDescent="0.2">
      <c r="A54" s="11">
        <v>9</v>
      </c>
      <c r="B54" s="20"/>
      <c r="C54" s="20"/>
      <c r="D54" s="1" t="s">
        <v>40</v>
      </c>
      <c r="E54" s="8" t="s">
        <v>36</v>
      </c>
      <c r="F54" s="1"/>
      <c r="G54" s="1">
        <f t="shared" si="25"/>
        <v>338216.06269780273</v>
      </c>
      <c r="H54" s="1">
        <f t="shared" si="26"/>
        <v>31809.054100000001</v>
      </c>
      <c r="I54" s="63">
        <f t="shared" si="18"/>
        <v>94.0495074251441</v>
      </c>
      <c r="J54" s="1">
        <f>[3]COAL!$F$4</f>
        <v>0</v>
      </c>
      <c r="K54" s="1">
        <f>ROUND([3]COAL!$F$8/1000,4)</f>
        <v>0</v>
      </c>
      <c r="L54" s="64">
        <f t="shared" si="19"/>
        <v>0</v>
      </c>
      <c r="M54" s="1">
        <f>ROUND(SUM([3]COAL!$F$15:$F$18),4)</f>
        <v>0</v>
      </c>
      <c r="N54" s="1">
        <f>ROUND(SUM([3]COAL!$F$26:$F$29)/1000,4)</f>
        <v>0</v>
      </c>
      <c r="O54" s="64">
        <f t="shared" si="20"/>
        <v>0</v>
      </c>
      <c r="P54" s="1">
        <v>0</v>
      </c>
      <c r="Q54" s="65">
        <f>ROUND(SUM([3]COAL!$F$30:$F$33)/1000,4)</f>
        <v>0</v>
      </c>
      <c r="R54" s="1">
        <f t="shared" si="21"/>
        <v>0</v>
      </c>
      <c r="S54" s="1">
        <v>0</v>
      </c>
      <c r="T54" s="1">
        <v>0</v>
      </c>
      <c r="U54" s="1">
        <f t="shared" si="22"/>
        <v>0</v>
      </c>
      <c r="V54" s="1">
        <f>[3]COAL!$F$45</f>
        <v>338216.06269780273</v>
      </c>
      <c r="W54" s="1">
        <f>ROUND([3]COAL!$F$49/1000,4)</f>
        <v>31809.054100000001</v>
      </c>
      <c r="X54" s="64">
        <f t="shared" si="23"/>
        <v>94.0495074251441</v>
      </c>
      <c r="Y54" s="37"/>
      <c r="Z54" s="38">
        <f t="shared" si="24"/>
        <v>0</v>
      </c>
      <c r="AA54" s="38">
        <f t="shared" si="27"/>
        <v>0</v>
      </c>
    </row>
    <row r="55" spans="1:28" s="2" customFormat="1" ht="14.1" customHeight="1" x14ac:dyDescent="0.2">
      <c r="A55" s="11">
        <v>10</v>
      </c>
      <c r="B55" s="20"/>
      <c r="C55" s="20"/>
      <c r="D55" s="8" t="s">
        <v>41</v>
      </c>
      <c r="E55" s="8" t="s">
        <v>36</v>
      </c>
      <c r="F55" s="1"/>
      <c r="G55" s="1">
        <f t="shared" si="25"/>
        <v>338216.06269780273</v>
      </c>
      <c r="H55" s="1">
        <f t="shared" si="26"/>
        <v>31809.054100000001</v>
      </c>
      <c r="I55" s="63">
        <f t="shared" si="18"/>
        <v>94.0495074251441</v>
      </c>
      <c r="J55" s="1">
        <f>[3]COAL!$G$4</f>
        <v>0</v>
      </c>
      <c r="K55" s="1">
        <f>ROUND([3]COAL!$G$8/1000,4)</f>
        <v>0</v>
      </c>
      <c r="L55" s="64">
        <f t="shared" si="19"/>
        <v>0</v>
      </c>
      <c r="M55" s="1">
        <f>ROUND(SUM([3]COAL!$G$15:$G$18),4)</f>
        <v>0</v>
      </c>
      <c r="N55" s="1">
        <f>ROUND(SUM([3]COAL!$G$26:$G$29)/1000,4)</f>
        <v>0</v>
      </c>
      <c r="O55" s="64">
        <f t="shared" si="20"/>
        <v>0</v>
      </c>
      <c r="P55" s="1">
        <v>0</v>
      </c>
      <c r="Q55" s="65">
        <f>ROUND(SUM([3]COAL!$G$30:$G$33)/1000,4)</f>
        <v>0</v>
      </c>
      <c r="R55" s="1">
        <f t="shared" si="21"/>
        <v>0</v>
      </c>
      <c r="S55" s="1">
        <v>0</v>
      </c>
      <c r="T55" s="1">
        <v>0</v>
      </c>
      <c r="U55" s="1">
        <f t="shared" si="22"/>
        <v>0</v>
      </c>
      <c r="V55" s="1">
        <f>[3]COAL!$G$45</f>
        <v>338216.06269780273</v>
      </c>
      <c r="W55" s="1">
        <f>ROUND([3]COAL!$G$49/1000,4)</f>
        <v>31809.054100000001</v>
      </c>
      <c r="X55" s="64">
        <f t="shared" si="23"/>
        <v>94.0495074251441</v>
      </c>
      <c r="Y55" s="37"/>
      <c r="Z55" s="38">
        <f t="shared" si="24"/>
        <v>0</v>
      </c>
      <c r="AA55" s="38">
        <f t="shared" si="27"/>
        <v>0</v>
      </c>
    </row>
    <row r="56" spans="1:28" s="2" customFormat="1" ht="12.6" customHeight="1" x14ac:dyDescent="0.2">
      <c r="A56" s="11">
        <v>11</v>
      </c>
      <c r="B56" s="36"/>
      <c r="C56" s="20"/>
      <c r="D56" s="1" t="s">
        <v>42</v>
      </c>
      <c r="E56" s="8" t="s">
        <v>36</v>
      </c>
      <c r="F56" s="1"/>
      <c r="G56" s="1">
        <f t="shared" si="25"/>
        <v>338216.06269780273</v>
      </c>
      <c r="H56" s="1">
        <f t="shared" si="26"/>
        <v>31809.054100000001</v>
      </c>
      <c r="I56" s="63">
        <f t="shared" si="18"/>
        <v>94.0495074251441</v>
      </c>
      <c r="J56" s="1">
        <f>[3]COAL!$H$4</f>
        <v>29000</v>
      </c>
      <c r="K56" s="1">
        <f>ROUND([3]COAL!$H$8/1000,4)</f>
        <v>2549.3829999999998</v>
      </c>
      <c r="L56" s="64">
        <f t="shared" si="19"/>
        <v>87.909758620689658</v>
      </c>
      <c r="M56" s="1">
        <v>35857</v>
      </c>
      <c r="N56" s="1">
        <f>ROUND(SUM([3]COAL!$H$26:$H$29)/1000,4)</f>
        <v>4942.201</v>
      </c>
      <c r="O56" s="64">
        <f t="shared" si="20"/>
        <v>137.83085589982431</v>
      </c>
      <c r="P56" s="1">
        <v>0</v>
      </c>
      <c r="Q56" s="65">
        <f>ROUND(SUM([3]COAL!$H$30:$H$33)/1000,4)</f>
        <v>18.916</v>
      </c>
      <c r="R56" s="1">
        <f t="shared" si="21"/>
        <v>0</v>
      </c>
      <c r="S56" s="1">
        <v>0</v>
      </c>
      <c r="T56" s="1">
        <v>0</v>
      </c>
      <c r="U56" s="1">
        <f t="shared" si="22"/>
        <v>0</v>
      </c>
      <c r="V56" s="1">
        <f>[3]COAL!$H$45</f>
        <v>331359.39874462131</v>
      </c>
      <c r="W56" s="1">
        <f>ROUND([3]COAL!$H$49/1000,4)</f>
        <v>29416.235799999999</v>
      </c>
      <c r="X56" s="64">
        <f t="shared" si="23"/>
        <v>88.774412047599981</v>
      </c>
      <c r="Y56" s="37"/>
      <c r="Z56" s="38">
        <f t="shared" si="24"/>
        <v>-0.3360468185856007</v>
      </c>
      <c r="AA56" s="38">
        <f t="shared" si="27"/>
        <v>3.0000000333529897E-4</v>
      </c>
    </row>
    <row r="57" spans="1:28" s="2" customFormat="1" ht="14.1" customHeight="1" x14ac:dyDescent="0.2">
      <c r="A57" s="11">
        <v>12</v>
      </c>
      <c r="B57" s="20"/>
      <c r="C57" s="20"/>
      <c r="D57" s="8" t="s">
        <v>43</v>
      </c>
      <c r="E57" s="8" t="s">
        <v>36</v>
      </c>
      <c r="F57" s="1"/>
      <c r="G57" s="1">
        <f t="shared" si="25"/>
        <v>331359.39874462131</v>
      </c>
      <c r="H57" s="1">
        <f t="shared" si="26"/>
        <v>29416.235799999999</v>
      </c>
      <c r="I57" s="63">
        <f t="shared" si="18"/>
        <v>88.774412047599981</v>
      </c>
      <c r="J57" s="1">
        <f>[3]COAL!$I$4</f>
        <v>43500</v>
      </c>
      <c r="K57" s="1">
        <f>ROUND([3]COAL!$I$8/1000,4)</f>
        <v>3824.0740000000001</v>
      </c>
      <c r="L57" s="64">
        <f t="shared" si="19"/>
        <v>87.909747126436784</v>
      </c>
      <c r="M57" s="1">
        <v>43276</v>
      </c>
      <c r="N57" s="1">
        <v>3837</v>
      </c>
      <c r="O57" s="64">
        <f t="shared" si="20"/>
        <v>88.663462427211385</v>
      </c>
      <c r="P57" s="1">
        <v>0</v>
      </c>
      <c r="Q57" s="65">
        <f>ROUND(SUM([3]COAL!$I$30:$I$33)/1000,4)</f>
        <v>0</v>
      </c>
      <c r="R57" s="1">
        <f t="shared" si="21"/>
        <v>0</v>
      </c>
      <c r="S57" s="1">
        <v>0</v>
      </c>
      <c r="T57" s="1">
        <v>0</v>
      </c>
      <c r="U57" s="1">
        <f t="shared" si="22"/>
        <v>0</v>
      </c>
      <c r="V57" s="1">
        <f>[3]COAL!$I$45</f>
        <v>331583.51703837526</v>
      </c>
      <c r="W57" s="1">
        <f>ROUND([3]COAL!$I$49/1000,4)</f>
        <v>29402.861400000002</v>
      </c>
      <c r="X57" s="64">
        <f t="shared" si="23"/>
        <v>88.674074220031613</v>
      </c>
      <c r="Y57" s="37"/>
      <c r="Z57" s="38">
        <f t="shared" si="24"/>
        <v>-0.1182937539415434</v>
      </c>
      <c r="AA57" s="38">
        <f t="shared" si="27"/>
        <v>0.44839999999385327</v>
      </c>
    </row>
    <row r="58" spans="1:28" s="2" customFormat="1" ht="14.1" customHeight="1" x14ac:dyDescent="0.2">
      <c r="A58" s="11">
        <v>13</v>
      </c>
      <c r="B58" s="20"/>
      <c r="C58" s="20"/>
      <c r="D58" s="1" t="s">
        <v>44</v>
      </c>
      <c r="E58" s="8" t="s">
        <v>36</v>
      </c>
      <c r="F58" s="1"/>
      <c r="G58" s="1">
        <f t="shared" si="25"/>
        <v>331583.51703837526</v>
      </c>
      <c r="H58" s="1">
        <f t="shared" si="26"/>
        <v>29402.861400000002</v>
      </c>
      <c r="I58" s="63">
        <f t="shared" si="18"/>
        <v>88.674074220031613</v>
      </c>
      <c r="J58" s="1">
        <f>[3]COAL!$J$4</f>
        <v>14500</v>
      </c>
      <c r="K58" s="1">
        <f>ROUND([3]COAL!$J$8/1000,4)</f>
        <v>1274.691</v>
      </c>
      <c r="L58" s="64">
        <f t="shared" si="19"/>
        <v>87.909724137931036</v>
      </c>
      <c r="M58" s="1">
        <f>ROUND(SUM([3]COAL!$J$15:$J$18),4)</f>
        <v>0</v>
      </c>
      <c r="N58" s="1">
        <f>ROUND(SUM([3]COAL!$J$26:$J$29)/1000,4)</f>
        <v>0</v>
      </c>
      <c r="O58" s="64">
        <f t="shared" si="20"/>
        <v>0</v>
      </c>
      <c r="P58" s="1">
        <v>0</v>
      </c>
      <c r="Q58" s="65">
        <f>ROUND(SUM([3]COAL!$J$30:$J$33)/1000,4)</f>
        <v>0</v>
      </c>
      <c r="R58" s="1">
        <f t="shared" si="21"/>
        <v>0</v>
      </c>
      <c r="S58" s="1">
        <v>0</v>
      </c>
      <c r="T58" s="1">
        <v>0</v>
      </c>
      <c r="U58" s="1">
        <f t="shared" si="22"/>
        <v>0</v>
      </c>
      <c r="V58" s="1">
        <f>[3]COAL!$J$45</f>
        <v>346083.51703837526</v>
      </c>
      <c r="W58" s="1">
        <f>ROUND([3]COAL!$J$49/1000,4)</f>
        <v>30677.552800000001</v>
      </c>
      <c r="X58" s="64">
        <f t="shared" si="23"/>
        <v>88.64205109369118</v>
      </c>
      <c r="Y58" s="37"/>
      <c r="Z58" s="38">
        <f t="shared" si="24"/>
        <v>0</v>
      </c>
      <c r="AA58" s="38">
        <f t="shared" si="27"/>
        <v>-4.0000000080908649E-4</v>
      </c>
    </row>
    <row r="59" spans="1:28" s="2" customFormat="1" ht="14.1" customHeight="1" x14ac:dyDescent="0.2">
      <c r="A59" s="11">
        <v>14</v>
      </c>
      <c r="B59" s="20"/>
      <c r="C59" s="20"/>
      <c r="D59" s="8" t="s">
        <v>45</v>
      </c>
      <c r="E59" s="8" t="s">
        <v>36</v>
      </c>
      <c r="F59" s="1"/>
      <c r="G59" s="1">
        <f t="shared" si="25"/>
        <v>346083.51703837526</v>
      </c>
      <c r="H59" s="1">
        <f t="shared" si="26"/>
        <v>30677.552800000001</v>
      </c>
      <c r="I59" s="63">
        <f t="shared" si="18"/>
        <v>88.64205109369118</v>
      </c>
      <c r="J59" s="1">
        <f>[3]COAL!$K$4</f>
        <v>0</v>
      </c>
      <c r="K59" s="1">
        <f>ROUND([3]COAL!$K$8/1000,4)</f>
        <v>0</v>
      </c>
      <c r="L59" s="64">
        <f t="shared" si="19"/>
        <v>0</v>
      </c>
      <c r="M59" s="1">
        <f>ROUND(SUM([3]COAL!$K$15:$K$18),4)</f>
        <v>0</v>
      </c>
      <c r="N59" s="1">
        <f>ROUND(SUM([3]COAL!$K$26:$K$29)/1000,4)</f>
        <v>0</v>
      </c>
      <c r="O59" s="64">
        <f t="shared" si="20"/>
        <v>0</v>
      </c>
      <c r="P59" s="1">
        <v>0</v>
      </c>
      <c r="Q59" s="65">
        <f>ROUND(SUM([3]COAL!$K$30:$K$33)/1000,4)</f>
        <v>0</v>
      </c>
      <c r="R59" s="1">
        <f t="shared" si="21"/>
        <v>0</v>
      </c>
      <c r="S59" s="1">
        <v>0</v>
      </c>
      <c r="T59" s="1">
        <v>0</v>
      </c>
      <c r="U59" s="1">
        <f t="shared" si="22"/>
        <v>0</v>
      </c>
      <c r="V59" s="1">
        <f>[3]COAL!$K$45</f>
        <v>346083.51703837526</v>
      </c>
      <c r="W59" s="1">
        <f>ROUND([3]COAL!$K$49/1000,4)</f>
        <v>30677.552800000001</v>
      </c>
      <c r="X59" s="64">
        <f t="shared" si="23"/>
        <v>88.64205109369118</v>
      </c>
      <c r="Y59" s="37"/>
      <c r="Z59" s="38">
        <f t="shared" si="24"/>
        <v>0</v>
      </c>
      <c r="AA59" s="38">
        <f t="shared" si="27"/>
        <v>0</v>
      </c>
    </row>
    <row r="60" spans="1:28" s="2" customFormat="1" ht="14.1" customHeight="1" x14ac:dyDescent="0.2">
      <c r="A60" s="11">
        <v>15</v>
      </c>
      <c r="B60" s="20"/>
      <c r="C60" s="20"/>
      <c r="D60" s="1" t="s">
        <v>46</v>
      </c>
      <c r="E60" s="8" t="s">
        <v>36</v>
      </c>
      <c r="F60" s="1"/>
      <c r="G60" s="1">
        <f t="shared" si="25"/>
        <v>346083.51703837526</v>
      </c>
      <c r="H60" s="1">
        <f t="shared" si="26"/>
        <v>30677.552800000001</v>
      </c>
      <c r="I60" s="63">
        <f t="shared" si="18"/>
        <v>88.64205109369118</v>
      </c>
      <c r="J60" s="1">
        <f>[3]COAL!$L$4</f>
        <v>0</v>
      </c>
      <c r="K60" s="1">
        <f>ROUND([3]COAL!$L$8/1000,4)</f>
        <v>0</v>
      </c>
      <c r="L60" s="64">
        <f t="shared" si="19"/>
        <v>0</v>
      </c>
      <c r="M60" s="1">
        <v>9401</v>
      </c>
      <c r="N60" s="1">
        <v>833</v>
      </c>
      <c r="O60" s="64">
        <f t="shared" si="20"/>
        <v>88.607594936708864</v>
      </c>
      <c r="P60" s="1">
        <v>0</v>
      </c>
      <c r="Q60" s="65">
        <f>ROUND(SUM([3]COAL!$K$30:$K$33)/1000,4)</f>
        <v>0</v>
      </c>
      <c r="R60" s="1">
        <f t="shared" si="21"/>
        <v>0</v>
      </c>
      <c r="S60" s="1">
        <v>0</v>
      </c>
      <c r="T60" s="1">
        <v>0</v>
      </c>
      <c r="U60" s="1">
        <f t="shared" si="22"/>
        <v>0</v>
      </c>
      <c r="V60" s="1">
        <f>[3]COAL!$L$45</f>
        <v>336682.17596583674</v>
      </c>
      <c r="W60" s="1">
        <f>ROUND([3]COAL!$L$49/1000,4)</f>
        <v>29844.198700000001</v>
      </c>
      <c r="X60" s="64">
        <f t="shared" si="23"/>
        <v>88.642051259132586</v>
      </c>
      <c r="Y60" s="37"/>
      <c r="Z60" s="38">
        <f t="shared" si="24"/>
        <v>0.34107253851834685</v>
      </c>
      <c r="AA60" s="38">
        <f t="shared" si="27"/>
        <v>0.35410000000047148</v>
      </c>
    </row>
    <row r="61" spans="1:28" s="2" customFormat="1" ht="14.1" customHeight="1" x14ac:dyDescent="0.2">
      <c r="A61" s="11">
        <v>16</v>
      </c>
      <c r="B61" s="20"/>
      <c r="C61" s="20"/>
      <c r="D61" s="8" t="s">
        <v>33</v>
      </c>
      <c r="E61" s="8" t="s">
        <v>36</v>
      </c>
      <c r="F61" s="1"/>
      <c r="G61" s="1">
        <f t="shared" si="25"/>
        <v>336682.17596583674</v>
      </c>
      <c r="H61" s="1">
        <f t="shared" si="26"/>
        <v>29844.198700000001</v>
      </c>
      <c r="I61" s="63">
        <f t="shared" si="18"/>
        <v>88.642051259132586</v>
      </c>
      <c r="J61" s="1">
        <f>[3]COAL!$M$4</f>
        <v>0</v>
      </c>
      <c r="K61" s="1">
        <f>ROUND([3]COAL!$M$8/1000,4)</f>
        <v>0</v>
      </c>
      <c r="L61" s="64">
        <f t="shared" si="19"/>
        <v>0</v>
      </c>
      <c r="M61" s="1">
        <v>0</v>
      </c>
      <c r="N61" s="1">
        <f>ROUND(SUM([3]COAL!$M$26:$M$29)/1000,4)</f>
        <v>0</v>
      </c>
      <c r="O61" s="64">
        <f t="shared" si="20"/>
        <v>0</v>
      </c>
      <c r="P61" s="1">
        <v>0</v>
      </c>
      <c r="Q61" s="65">
        <f>ROUND(SUM([3]COAL!$M$30:$M$33)/1000,4)</f>
        <v>103.715</v>
      </c>
      <c r="R61" s="1">
        <f t="shared" si="21"/>
        <v>0</v>
      </c>
      <c r="S61" s="1">
        <v>0</v>
      </c>
      <c r="T61" s="1">
        <v>0</v>
      </c>
      <c r="U61" s="1">
        <f t="shared" si="22"/>
        <v>0</v>
      </c>
      <c r="V61" s="1">
        <f>[3]COAL!$M$45</f>
        <v>336682.17596583674</v>
      </c>
      <c r="W61" s="1">
        <f>ROUND([3]COAL!$M$49/1000,4)</f>
        <v>29844.198700000001</v>
      </c>
      <c r="X61" s="64">
        <f t="shared" si="23"/>
        <v>88.642051259132586</v>
      </c>
      <c r="Y61" s="37"/>
      <c r="Z61" s="38">
        <f t="shared" si="24"/>
        <v>0</v>
      </c>
      <c r="AA61" s="38">
        <f t="shared" si="27"/>
        <v>0</v>
      </c>
    </row>
    <row r="62" spans="1:28" ht="14.1" customHeight="1" thickBot="1" x14ac:dyDescent="0.25">
      <c r="A62" s="11">
        <v>17</v>
      </c>
      <c r="C62" s="58" t="s">
        <v>47</v>
      </c>
      <c r="D62" s="1"/>
      <c r="E62" s="1"/>
      <c r="F62" s="35"/>
      <c r="G62" s="1"/>
      <c r="H62" s="1"/>
      <c r="I62" s="35"/>
      <c r="J62" s="22">
        <f>SUM(J50:J61)</f>
        <v>116000</v>
      </c>
      <c r="K62" s="23">
        <f>SUM(K50:K61)</f>
        <v>10197.530000000001</v>
      </c>
      <c r="L62" s="24">
        <f>IF(K62&gt;0,ROUND((K62*1000)/J62,2),4)</f>
        <v>87.91</v>
      </c>
      <c r="M62" s="22">
        <f>SUM(M50:M61)</f>
        <v>88893</v>
      </c>
      <c r="N62" s="23">
        <f>SUM(N50:N61)</f>
        <v>9661.8280000000013</v>
      </c>
      <c r="O62" s="66">
        <f>IF(N62&gt;0,ROUND((N62*1000)/M62,2),4)</f>
        <v>108.69</v>
      </c>
      <c r="P62" s="22">
        <f>SUM(P50:P61)</f>
        <v>0</v>
      </c>
      <c r="Q62" s="23">
        <f>SUM(Q50:Q61)</f>
        <v>300.12900000000002</v>
      </c>
      <c r="R62" s="24">
        <v>0</v>
      </c>
      <c r="S62" s="22">
        <f>SUM(S50:S61)</f>
        <v>0</v>
      </c>
      <c r="T62" s="23">
        <f>SUM(T50:T61)</f>
        <v>0</v>
      </c>
      <c r="U62" s="24">
        <f t="shared" si="22"/>
        <v>0</v>
      </c>
      <c r="V62" s="12"/>
      <c r="W62" s="28"/>
      <c r="X62" s="19"/>
    </row>
    <row r="63" spans="1:28" ht="14.1" customHeight="1" thickTop="1" x14ac:dyDescent="0.2">
      <c r="A63" s="11">
        <v>18</v>
      </c>
      <c r="D63" s="1"/>
      <c r="E63" s="1"/>
      <c r="F63" s="35"/>
      <c r="G63" s="1"/>
      <c r="H63" s="12"/>
      <c r="I63" s="59"/>
      <c r="J63" s="12"/>
      <c r="K63" s="12"/>
      <c r="L63" s="59"/>
      <c r="M63" s="12"/>
      <c r="N63" s="12"/>
      <c r="O63" s="59"/>
      <c r="P63" s="12"/>
      <c r="Q63" s="12"/>
      <c r="R63" s="59"/>
      <c r="S63" s="12"/>
      <c r="T63" s="12"/>
      <c r="U63" s="59"/>
      <c r="V63" s="12"/>
      <c r="W63" s="12"/>
      <c r="X63" s="59"/>
    </row>
    <row r="64" spans="1:28" ht="14.1" customHeight="1" thickBot="1" x14ac:dyDescent="0.25">
      <c r="A64" s="11">
        <v>19</v>
      </c>
      <c r="B64" s="52"/>
      <c r="C64" s="58" t="s">
        <v>48</v>
      </c>
      <c r="D64" s="1"/>
      <c r="E64" s="1"/>
      <c r="F64" s="35"/>
      <c r="G64" s="25">
        <f>AVERAGE(G49:G61)</f>
        <v>332238.15980197291</v>
      </c>
      <c r="H64" s="26">
        <f>AVERAGE(H49:H61)</f>
        <v>30591.006413033781</v>
      </c>
      <c r="I64" s="74">
        <v>0</v>
      </c>
      <c r="J64" s="25">
        <f>AVERAGE(J49:J61)</f>
        <v>9500</v>
      </c>
      <c r="K64" s="26">
        <f>AVERAGE(K49:K61)</f>
        <v>834.57827024800827</v>
      </c>
      <c r="L64" s="74">
        <v>0</v>
      </c>
      <c r="M64" s="25">
        <f>AVERAGE(M49:M61)</f>
        <v>6876.2307692307695</v>
      </c>
      <c r="N64" s="26">
        <f>AVERAGE(N49:N61)</f>
        <v>748.52523076923092</v>
      </c>
      <c r="O64" s="74">
        <v>0</v>
      </c>
      <c r="P64" s="25">
        <f>AVERAGE(P49:P61)</f>
        <v>0</v>
      </c>
      <c r="Q64" s="26">
        <f>AVERAGE(Q49:Q61)</f>
        <v>26.491538461538461</v>
      </c>
      <c r="R64" s="74">
        <v>0</v>
      </c>
      <c r="S64" s="25">
        <f>AVERAGE(S49:S61)</f>
        <v>0</v>
      </c>
      <c r="T64" s="26">
        <f>AVERAGE(T49:T61)</f>
        <v>0</v>
      </c>
      <c r="U64" s="74">
        <v>0</v>
      </c>
      <c r="V64" s="25">
        <f>AVERAGE(V49:V61)</f>
        <v>334861.926557253</v>
      </c>
      <c r="W64" s="26">
        <f>AVERAGE(W49:W61)</f>
        <v>30677.012238461542</v>
      </c>
      <c r="X64" s="74">
        <v>0</v>
      </c>
    </row>
    <row r="65" spans="1:27" ht="14.1" customHeight="1" thickTop="1" x14ac:dyDescent="0.2">
      <c r="A65" s="11">
        <v>20</v>
      </c>
      <c r="D65" s="3"/>
      <c r="F65" s="4"/>
      <c r="G65" s="4"/>
      <c r="H65" s="4"/>
      <c r="I65" s="4"/>
      <c r="J65" s="2"/>
      <c r="K65" s="4"/>
      <c r="L65" s="2"/>
      <c r="M65" s="4"/>
      <c r="N65" s="4"/>
      <c r="O65" s="4"/>
      <c r="P65" s="4"/>
      <c r="Q65" s="4"/>
      <c r="R65" s="4"/>
      <c r="S65" s="4"/>
      <c r="V65" s="2"/>
      <c r="W65" s="2"/>
      <c r="X65" s="75"/>
    </row>
    <row r="66" spans="1:27" ht="14.1" customHeight="1" x14ac:dyDescent="0.2">
      <c r="A66" s="11">
        <v>21</v>
      </c>
      <c r="B66" s="52" t="s">
        <v>30</v>
      </c>
      <c r="S66" s="20"/>
      <c r="W66" s="53"/>
      <c r="X66" s="53"/>
    </row>
    <row r="67" spans="1:27" ht="14.1" customHeight="1" x14ac:dyDescent="0.2">
      <c r="A67" s="11">
        <v>22</v>
      </c>
      <c r="B67" s="11" t="s">
        <v>56</v>
      </c>
      <c r="D67" s="12"/>
      <c r="E67" s="12"/>
      <c r="F67" s="35"/>
      <c r="G67" s="12"/>
      <c r="H67" s="12"/>
      <c r="I67" s="35"/>
      <c r="J67" s="12"/>
      <c r="K67" s="12"/>
      <c r="L67" s="35"/>
      <c r="M67" s="1"/>
      <c r="N67" s="12"/>
      <c r="O67" s="35"/>
      <c r="P67" s="1"/>
      <c r="Q67" s="1"/>
      <c r="R67" s="1"/>
      <c r="S67" s="12"/>
      <c r="T67" s="12"/>
      <c r="U67" s="35"/>
      <c r="V67" s="1"/>
      <c r="W67" s="1"/>
      <c r="X67" s="1"/>
    </row>
    <row r="68" spans="1:27" ht="14.1" customHeight="1" x14ac:dyDescent="0.2">
      <c r="A68" s="11">
        <v>23</v>
      </c>
      <c r="D68" s="12"/>
      <c r="E68" s="12"/>
      <c r="F68" s="35"/>
      <c r="G68" s="12"/>
      <c r="H68" s="12"/>
      <c r="I68" s="35"/>
      <c r="J68" s="12"/>
      <c r="K68" s="12"/>
      <c r="L68" s="35"/>
      <c r="M68" s="1"/>
      <c r="N68" s="12"/>
      <c r="O68" s="35"/>
      <c r="P68" s="1"/>
      <c r="Q68" s="1"/>
      <c r="R68" s="1"/>
      <c r="S68" s="12"/>
      <c r="T68" s="12"/>
      <c r="U68" s="35"/>
      <c r="V68" s="1"/>
      <c r="W68" s="1"/>
      <c r="X68" s="35"/>
      <c r="Z68" s="55" t="s">
        <v>32</v>
      </c>
      <c r="AA68" s="55" t="s">
        <v>32</v>
      </c>
    </row>
    <row r="69" spans="1:27" ht="14.1" customHeight="1" x14ac:dyDescent="0.2">
      <c r="A69" s="11">
        <v>24</v>
      </c>
      <c r="D69" s="8" t="s">
        <v>33</v>
      </c>
      <c r="E69" s="8" t="s">
        <v>34</v>
      </c>
      <c r="F69" s="35"/>
      <c r="G69" s="1">
        <v>0</v>
      </c>
      <c r="H69" s="13">
        <v>0</v>
      </c>
      <c r="I69" s="13">
        <f>IFERROR(H69*1000/G69,0)</f>
        <v>0</v>
      </c>
      <c r="J69" s="1">
        <f>[5]COAL!$M$5</f>
        <v>0</v>
      </c>
      <c r="K69" s="13">
        <f>ROUND([5]COAL!$M$9/1000,0)</f>
        <v>0</v>
      </c>
      <c r="L69" s="13">
        <f>IFERROR(K69*1000/J69,0)</f>
        <v>0</v>
      </c>
      <c r="M69" s="1">
        <f>[5]COAL!$M$19</f>
        <v>0</v>
      </c>
      <c r="N69" s="13">
        <f>ROUND([5]COAL!$M$34/1000,0)</f>
        <v>0</v>
      </c>
      <c r="O69" s="13">
        <f>IFERROR(N69*1000/M69,0)</f>
        <v>0</v>
      </c>
      <c r="P69" s="1">
        <v>0</v>
      </c>
      <c r="Q69" s="13">
        <f>ROUND(SUM([5]COAL!$M$37:$M$38)/1000,0)</f>
        <v>0</v>
      </c>
      <c r="R69" s="13">
        <f>IFERROR(Q69*1000/P69,0)</f>
        <v>0</v>
      </c>
      <c r="S69" s="1">
        <v>0</v>
      </c>
      <c r="T69" s="13">
        <v>0</v>
      </c>
      <c r="U69" s="13">
        <f>IFERROR(T69*1000/S69,0)</f>
        <v>0</v>
      </c>
      <c r="V69" s="1">
        <f>'[6]System Inventory'!$M$128</f>
        <v>0</v>
      </c>
      <c r="W69" s="13">
        <f>'[6]System Inventory'!$M$130</f>
        <v>0</v>
      </c>
      <c r="X69" s="13">
        <f>IFERROR(W69*1000/V69,0)</f>
        <v>0</v>
      </c>
      <c r="Y69" s="61"/>
      <c r="Z69" s="56">
        <f>+G69+J69-M69+S69-V69</f>
        <v>0</v>
      </c>
      <c r="AA69" s="56">
        <f>+H69+K69-N69+T69-W69</f>
        <v>0</v>
      </c>
    </row>
    <row r="70" spans="1:27" ht="14.1" customHeight="1" x14ac:dyDescent="0.2">
      <c r="A70" s="11">
        <v>25</v>
      </c>
      <c r="B70" s="36"/>
      <c r="C70" s="20"/>
      <c r="D70" s="1" t="s">
        <v>35</v>
      </c>
      <c r="E70" s="8" t="s">
        <v>36</v>
      </c>
      <c r="F70" s="1"/>
      <c r="G70" s="1">
        <f>+V69</f>
        <v>0</v>
      </c>
      <c r="H70" s="1">
        <f>+W69</f>
        <v>0</v>
      </c>
      <c r="I70" s="35">
        <f t="shared" ref="I70:I81" si="28">IFERROR(H70*1000/G70,0)</f>
        <v>0</v>
      </c>
      <c r="J70" s="1">
        <f>[3]COAL!$B$5</f>
        <v>0</v>
      </c>
      <c r="K70" s="1">
        <f>ROUND([3]COAL!$B$9/1000,4)</f>
        <v>0</v>
      </c>
      <c r="L70" s="35">
        <f t="shared" ref="L70:L81" si="29">IFERROR(K70*1000/J70,0)</f>
        <v>0</v>
      </c>
      <c r="M70" s="1">
        <f>[3]COAL!$B$19</f>
        <v>0</v>
      </c>
      <c r="N70" s="1">
        <f>ROUND([3]COAL!$B$34/1000,4)</f>
        <v>0</v>
      </c>
      <c r="O70" s="35">
        <f t="shared" ref="O70:O81" si="30">IFERROR(N70*1000/M70,0)</f>
        <v>0</v>
      </c>
      <c r="P70" s="1">
        <v>0</v>
      </c>
      <c r="Q70" s="1">
        <f>ROUND(SUM([3]COAL!$B$37:$B$38)/1000,4)</f>
        <v>0</v>
      </c>
      <c r="R70" s="35">
        <f t="shared" ref="R70:R81" si="31">IFERROR(Q70*1000/P70,0)</f>
        <v>0</v>
      </c>
      <c r="S70" s="1">
        <v>0</v>
      </c>
      <c r="T70" s="1">
        <v>0</v>
      </c>
      <c r="U70" s="35">
        <f t="shared" ref="U70:U81" si="32">IFERROR(T70*1000/S70,0)</f>
        <v>0</v>
      </c>
      <c r="V70" s="1">
        <f>'[7]System Inventory'!$B$128</f>
        <v>0</v>
      </c>
      <c r="W70" s="1">
        <f>'[7]System Inventory'!$B$130</f>
        <v>0</v>
      </c>
      <c r="X70" s="35">
        <f t="shared" ref="X70:X81" si="33">IFERROR(W70*1000/V70,0)</f>
        <v>0</v>
      </c>
      <c r="Y70" s="37"/>
      <c r="Z70" s="38">
        <f t="shared" ref="Z70:Z81" si="34">+G70+J70-M70+S70-V70</f>
        <v>0</v>
      </c>
      <c r="AA70" s="38">
        <f t="shared" ref="AA70:AA81" si="35">+H70+K70-N70+T70-W70</f>
        <v>0</v>
      </c>
    </row>
    <row r="71" spans="1:27" ht="14.1" customHeight="1" x14ac:dyDescent="0.2">
      <c r="A71" s="11">
        <v>26</v>
      </c>
      <c r="B71" s="20"/>
      <c r="C71" s="20"/>
      <c r="D71" s="8" t="s">
        <v>37</v>
      </c>
      <c r="E71" s="8" t="s">
        <v>36</v>
      </c>
      <c r="F71" s="1"/>
      <c r="G71" s="1">
        <f t="shared" ref="G71:G81" si="36">+V70</f>
        <v>0</v>
      </c>
      <c r="H71" s="1">
        <f t="shared" ref="H71:H81" si="37">+W70</f>
        <v>0</v>
      </c>
      <c r="I71" s="35">
        <f t="shared" si="28"/>
        <v>0</v>
      </c>
      <c r="J71" s="1">
        <f>[3]COAL!$C$5</f>
        <v>0</v>
      </c>
      <c r="K71" s="1">
        <f>ROUND([3]COAL!$C$9/1000,4)</f>
        <v>0</v>
      </c>
      <c r="L71" s="35">
        <f t="shared" si="29"/>
        <v>0</v>
      </c>
      <c r="M71" s="1">
        <f>[3]COAL!$C$19</f>
        <v>0</v>
      </c>
      <c r="N71" s="1">
        <f>ROUND([3]COAL!$C$34/1000,4)</f>
        <v>0</v>
      </c>
      <c r="O71" s="35">
        <f t="shared" si="30"/>
        <v>0</v>
      </c>
      <c r="P71" s="1">
        <v>0</v>
      </c>
      <c r="Q71" s="1">
        <f>ROUND(SUM([3]COAL!$C$37:$C$38)/1000,4)</f>
        <v>0</v>
      </c>
      <c r="R71" s="35">
        <f t="shared" si="31"/>
        <v>0</v>
      </c>
      <c r="S71" s="1">
        <v>0</v>
      </c>
      <c r="T71" s="1">
        <v>0</v>
      </c>
      <c r="U71" s="35">
        <f t="shared" si="32"/>
        <v>0</v>
      </c>
      <c r="V71" s="1">
        <f>'[7]System Inventory'!$C$128</f>
        <v>0</v>
      </c>
      <c r="W71" s="1">
        <f>'[7]System Inventory'!$C$130</f>
        <v>0</v>
      </c>
      <c r="X71" s="35">
        <f t="shared" si="33"/>
        <v>0</v>
      </c>
      <c r="Y71" s="37"/>
      <c r="Z71" s="38">
        <f t="shared" si="34"/>
        <v>0</v>
      </c>
      <c r="AA71" s="38">
        <f t="shared" si="35"/>
        <v>0</v>
      </c>
    </row>
    <row r="72" spans="1:27" ht="14.1" customHeight="1" x14ac:dyDescent="0.2">
      <c r="A72" s="11">
        <v>27</v>
      </c>
      <c r="B72" s="20"/>
      <c r="C72" s="20"/>
      <c r="D72" s="1" t="s">
        <v>38</v>
      </c>
      <c r="E72" s="8" t="s">
        <v>36</v>
      </c>
      <c r="F72" s="1"/>
      <c r="G72" s="1">
        <f t="shared" si="36"/>
        <v>0</v>
      </c>
      <c r="H72" s="1">
        <f t="shared" si="37"/>
        <v>0</v>
      </c>
      <c r="I72" s="35">
        <f t="shared" si="28"/>
        <v>0</v>
      </c>
      <c r="J72" s="1">
        <f>[3]COAL!$D$5</f>
        <v>0</v>
      </c>
      <c r="K72" s="1">
        <f>ROUND([3]COAL!$D$9/1000,4)</f>
        <v>0</v>
      </c>
      <c r="L72" s="35">
        <f t="shared" si="29"/>
        <v>0</v>
      </c>
      <c r="M72" s="1">
        <f>[3]COAL!$D$19</f>
        <v>0</v>
      </c>
      <c r="N72" s="1">
        <f>ROUND([3]COAL!$D$34/1000,4)</f>
        <v>0</v>
      </c>
      <c r="O72" s="35">
        <f t="shared" si="30"/>
        <v>0</v>
      </c>
      <c r="P72" s="1">
        <v>0</v>
      </c>
      <c r="Q72" s="1">
        <f>ROUND(SUM([3]COAL!$D$37:$D$38)/1000,4)</f>
        <v>0</v>
      </c>
      <c r="R72" s="35">
        <f t="shared" si="31"/>
        <v>0</v>
      </c>
      <c r="S72" s="1">
        <v>0</v>
      </c>
      <c r="T72" s="1">
        <v>0</v>
      </c>
      <c r="U72" s="35">
        <f t="shared" si="32"/>
        <v>0</v>
      </c>
      <c r="V72" s="1">
        <f>'[7]System Inventory'!$D$128</f>
        <v>0</v>
      </c>
      <c r="W72" s="1">
        <f>'[7]System Inventory'!$D$130</f>
        <v>0</v>
      </c>
      <c r="X72" s="35">
        <f t="shared" si="33"/>
        <v>0</v>
      </c>
      <c r="Y72" s="37"/>
      <c r="Z72" s="38">
        <f t="shared" si="34"/>
        <v>0</v>
      </c>
      <c r="AA72" s="38">
        <f t="shared" si="35"/>
        <v>0</v>
      </c>
    </row>
    <row r="73" spans="1:27" ht="14.1" customHeight="1" x14ac:dyDescent="0.2">
      <c r="A73" s="11">
        <v>28</v>
      </c>
      <c r="B73" s="20"/>
      <c r="C73" s="20"/>
      <c r="D73" s="8" t="s">
        <v>39</v>
      </c>
      <c r="E73" s="8" t="s">
        <v>36</v>
      </c>
      <c r="F73" s="1"/>
      <c r="G73" s="1">
        <f t="shared" si="36"/>
        <v>0</v>
      </c>
      <c r="H73" s="1">
        <f t="shared" si="37"/>
        <v>0</v>
      </c>
      <c r="I73" s="35">
        <f t="shared" si="28"/>
        <v>0</v>
      </c>
      <c r="J73" s="1">
        <f>[3]COAL!$E$5</f>
        <v>0</v>
      </c>
      <c r="K73" s="1">
        <f>ROUND([3]COAL!$E$9/1000,4)</f>
        <v>0</v>
      </c>
      <c r="L73" s="35">
        <f t="shared" si="29"/>
        <v>0</v>
      </c>
      <c r="M73" s="1">
        <f>[3]COAL!$E$19</f>
        <v>0</v>
      </c>
      <c r="N73" s="1">
        <f>ROUND([3]COAL!$E$34/1000,4)</f>
        <v>0</v>
      </c>
      <c r="O73" s="35">
        <f t="shared" si="30"/>
        <v>0</v>
      </c>
      <c r="P73" s="1">
        <v>0</v>
      </c>
      <c r="Q73" s="1">
        <f>ROUND(SUM([3]COAL!$E$37:$E$38)/1000,4)</f>
        <v>0</v>
      </c>
      <c r="R73" s="35">
        <f t="shared" si="31"/>
        <v>0</v>
      </c>
      <c r="S73" s="1">
        <v>0</v>
      </c>
      <c r="T73" s="1">
        <v>0</v>
      </c>
      <c r="U73" s="35">
        <f t="shared" si="32"/>
        <v>0</v>
      </c>
      <c r="V73" s="1">
        <f>'[7]System Inventory'!$E$128</f>
        <v>0</v>
      </c>
      <c r="W73" s="1">
        <f>'[7]System Inventory'!$E$130</f>
        <v>0</v>
      </c>
      <c r="X73" s="35">
        <f t="shared" si="33"/>
        <v>0</v>
      </c>
      <c r="Y73" s="37"/>
      <c r="Z73" s="38">
        <f t="shared" si="34"/>
        <v>0</v>
      </c>
      <c r="AA73" s="38">
        <f t="shared" si="35"/>
        <v>0</v>
      </c>
    </row>
    <row r="74" spans="1:27" ht="14.1" customHeight="1" x14ac:dyDescent="0.2">
      <c r="A74" s="11">
        <v>29</v>
      </c>
      <c r="B74" s="20"/>
      <c r="C74" s="20"/>
      <c r="D74" s="1" t="s">
        <v>40</v>
      </c>
      <c r="E74" s="8" t="s">
        <v>36</v>
      </c>
      <c r="F74" s="1"/>
      <c r="G74" s="1">
        <f t="shared" si="36"/>
        <v>0</v>
      </c>
      <c r="H74" s="1">
        <f t="shared" si="37"/>
        <v>0</v>
      </c>
      <c r="I74" s="35">
        <f t="shared" si="28"/>
        <v>0</v>
      </c>
      <c r="J74" s="1">
        <f>[3]COAL!$F$5</f>
        <v>0</v>
      </c>
      <c r="K74" s="1">
        <f>ROUND([3]COAL!$F$9/1000,4)</f>
        <v>0</v>
      </c>
      <c r="L74" s="35">
        <f t="shared" si="29"/>
        <v>0</v>
      </c>
      <c r="M74" s="1">
        <f>[3]COAL!$F$19</f>
        <v>0</v>
      </c>
      <c r="N74" s="1">
        <f>ROUND([3]COAL!$F$34/1000,4)</f>
        <v>0</v>
      </c>
      <c r="O74" s="35">
        <f t="shared" si="30"/>
        <v>0</v>
      </c>
      <c r="P74" s="1">
        <v>0</v>
      </c>
      <c r="Q74" s="1">
        <f>ROUND(SUM([3]COAL!$F$37:$F$38)/1000,4)</f>
        <v>0</v>
      </c>
      <c r="R74" s="35">
        <f t="shared" si="31"/>
        <v>0</v>
      </c>
      <c r="S74" s="1">
        <v>0</v>
      </c>
      <c r="T74" s="1">
        <v>0</v>
      </c>
      <c r="U74" s="35">
        <f t="shared" si="32"/>
        <v>0</v>
      </c>
      <c r="V74" s="1">
        <f>'[7]System Inventory'!$F$128</f>
        <v>0</v>
      </c>
      <c r="W74" s="1">
        <f>'[7]System Inventory'!$F$130</f>
        <v>0</v>
      </c>
      <c r="X74" s="35">
        <f t="shared" si="33"/>
        <v>0</v>
      </c>
      <c r="Y74" s="37"/>
      <c r="Z74" s="38">
        <f t="shared" si="34"/>
        <v>0</v>
      </c>
      <c r="AA74" s="38">
        <f t="shared" si="35"/>
        <v>0</v>
      </c>
    </row>
    <row r="75" spans="1:27" ht="14.1" customHeight="1" x14ac:dyDescent="0.2">
      <c r="A75" s="11">
        <v>30</v>
      </c>
      <c r="B75" s="20"/>
      <c r="C75" s="20"/>
      <c r="D75" s="8" t="s">
        <v>41</v>
      </c>
      <c r="E75" s="8" t="s">
        <v>36</v>
      </c>
      <c r="F75" s="1"/>
      <c r="G75" s="1">
        <f t="shared" si="36"/>
        <v>0</v>
      </c>
      <c r="H75" s="1">
        <f t="shared" si="37"/>
        <v>0</v>
      </c>
      <c r="I75" s="35">
        <f t="shared" si="28"/>
        <v>0</v>
      </c>
      <c r="J75" s="1">
        <f>[3]COAL!$G$5</f>
        <v>0</v>
      </c>
      <c r="K75" s="1">
        <f>ROUND([3]COAL!$G$9/1000,4)</f>
        <v>0</v>
      </c>
      <c r="L75" s="35">
        <f t="shared" si="29"/>
        <v>0</v>
      </c>
      <c r="M75" s="1">
        <f>[3]COAL!$G$19</f>
        <v>0</v>
      </c>
      <c r="N75" s="1">
        <f>ROUND([3]COAL!$G$34/1000,4)</f>
        <v>0</v>
      </c>
      <c r="O75" s="35">
        <f t="shared" si="30"/>
        <v>0</v>
      </c>
      <c r="P75" s="1">
        <v>0</v>
      </c>
      <c r="Q75" s="1">
        <f>ROUND(SUM([3]COAL!$G$37:$G$38)/1000,4)</f>
        <v>0</v>
      </c>
      <c r="R75" s="35">
        <f t="shared" si="31"/>
        <v>0</v>
      </c>
      <c r="S75" s="1">
        <v>0</v>
      </c>
      <c r="T75" s="1">
        <v>0</v>
      </c>
      <c r="U75" s="35">
        <f t="shared" si="32"/>
        <v>0</v>
      </c>
      <c r="V75" s="1">
        <f>'[7]System Inventory'!$G$128</f>
        <v>0</v>
      </c>
      <c r="W75" s="1">
        <f>'[7]System Inventory'!$G$130</f>
        <v>0</v>
      </c>
      <c r="X75" s="35">
        <f t="shared" si="33"/>
        <v>0</v>
      </c>
      <c r="Y75" s="37"/>
      <c r="Z75" s="38">
        <f t="shared" si="34"/>
        <v>0</v>
      </c>
      <c r="AA75" s="38">
        <f t="shared" si="35"/>
        <v>0</v>
      </c>
    </row>
    <row r="76" spans="1:27" ht="14.1" customHeight="1" x14ac:dyDescent="0.2">
      <c r="A76" s="11">
        <v>31</v>
      </c>
      <c r="B76" s="36"/>
      <c r="C76" s="20"/>
      <c r="D76" s="1" t="s">
        <v>42</v>
      </c>
      <c r="E76" s="8" t="s">
        <v>36</v>
      </c>
      <c r="F76" s="1"/>
      <c r="G76" s="1">
        <f t="shared" si="36"/>
        <v>0</v>
      </c>
      <c r="H76" s="1">
        <f t="shared" si="37"/>
        <v>0</v>
      </c>
      <c r="I76" s="35">
        <f t="shared" si="28"/>
        <v>0</v>
      </c>
      <c r="J76" s="1">
        <f>[3]COAL!$H$5</f>
        <v>0</v>
      </c>
      <c r="K76" s="1">
        <f>ROUND([3]COAL!$H$9/1000,4)</f>
        <v>0</v>
      </c>
      <c r="L76" s="35">
        <f t="shared" si="29"/>
        <v>0</v>
      </c>
      <c r="M76" s="1">
        <f>[3]COAL!$H$19</f>
        <v>0</v>
      </c>
      <c r="N76" s="1">
        <f>ROUND([3]COAL!$H$34/1000,4)</f>
        <v>0</v>
      </c>
      <c r="O76" s="35">
        <f t="shared" si="30"/>
        <v>0</v>
      </c>
      <c r="P76" s="1">
        <v>0</v>
      </c>
      <c r="Q76" s="1">
        <f>ROUND(SUM([3]COAL!$H$37:$H$38)/1000,4)</f>
        <v>0</v>
      </c>
      <c r="R76" s="35">
        <f t="shared" si="31"/>
        <v>0</v>
      </c>
      <c r="S76" s="1">
        <v>0</v>
      </c>
      <c r="T76" s="1">
        <v>0</v>
      </c>
      <c r="U76" s="35">
        <f t="shared" si="32"/>
        <v>0</v>
      </c>
      <c r="V76" s="1">
        <f>'[7]System Inventory'!$H$128</f>
        <v>0</v>
      </c>
      <c r="W76" s="1">
        <f>'[7]System Inventory'!$H$130</f>
        <v>0</v>
      </c>
      <c r="X76" s="35">
        <f t="shared" si="33"/>
        <v>0</v>
      </c>
      <c r="Y76" s="37"/>
      <c r="Z76" s="38">
        <f t="shared" si="34"/>
        <v>0</v>
      </c>
      <c r="AA76" s="38">
        <f t="shared" si="35"/>
        <v>0</v>
      </c>
    </row>
    <row r="77" spans="1:27" ht="14.1" customHeight="1" x14ac:dyDescent="0.2">
      <c r="A77" s="11">
        <v>32</v>
      </c>
      <c r="B77" s="20"/>
      <c r="C77" s="20"/>
      <c r="D77" s="8" t="s">
        <v>43</v>
      </c>
      <c r="E77" s="8" t="s">
        <v>36</v>
      </c>
      <c r="F77" s="1"/>
      <c r="G77" s="1">
        <f t="shared" si="36"/>
        <v>0</v>
      </c>
      <c r="H77" s="1">
        <f t="shared" si="37"/>
        <v>0</v>
      </c>
      <c r="I77" s="35">
        <f t="shared" si="28"/>
        <v>0</v>
      </c>
      <c r="J77" s="1">
        <f>[3]COAL!$I$5</f>
        <v>0</v>
      </c>
      <c r="K77" s="1">
        <f>ROUND([3]COAL!$I$9/1000,4)</f>
        <v>0</v>
      </c>
      <c r="L77" s="35">
        <f t="shared" si="29"/>
        <v>0</v>
      </c>
      <c r="M77" s="1">
        <f>[3]COAL!$I$19</f>
        <v>0</v>
      </c>
      <c r="N77" s="1">
        <f>ROUND([3]COAL!$I$34/1000,4)</f>
        <v>0</v>
      </c>
      <c r="O77" s="35">
        <f t="shared" si="30"/>
        <v>0</v>
      </c>
      <c r="P77" s="1">
        <v>0</v>
      </c>
      <c r="Q77" s="1">
        <f>ROUND(SUM([3]COAL!$I$37:$I$38)/1000,4)</f>
        <v>0</v>
      </c>
      <c r="R77" s="35">
        <f t="shared" si="31"/>
        <v>0</v>
      </c>
      <c r="S77" s="1">
        <v>0</v>
      </c>
      <c r="T77" s="1">
        <v>0</v>
      </c>
      <c r="U77" s="35">
        <f t="shared" si="32"/>
        <v>0</v>
      </c>
      <c r="V77" s="1">
        <f>'[7]System Inventory'!$I$128</f>
        <v>0</v>
      </c>
      <c r="W77" s="1">
        <f>'[7]System Inventory'!$I$130</f>
        <v>0</v>
      </c>
      <c r="X77" s="35">
        <f t="shared" si="33"/>
        <v>0</v>
      </c>
      <c r="Y77" s="37"/>
      <c r="Z77" s="38">
        <f t="shared" si="34"/>
        <v>0</v>
      </c>
      <c r="AA77" s="38">
        <f t="shared" si="35"/>
        <v>0</v>
      </c>
    </row>
    <row r="78" spans="1:27" ht="14.1" customHeight="1" x14ac:dyDescent="0.2">
      <c r="A78" s="11">
        <v>33</v>
      </c>
      <c r="B78" s="20"/>
      <c r="C78" s="20"/>
      <c r="D78" s="1" t="s">
        <v>44</v>
      </c>
      <c r="E78" s="8" t="s">
        <v>36</v>
      </c>
      <c r="F78" s="1"/>
      <c r="G78" s="1">
        <f t="shared" si="36"/>
        <v>0</v>
      </c>
      <c r="H78" s="1">
        <f t="shared" si="37"/>
        <v>0</v>
      </c>
      <c r="I78" s="35">
        <f t="shared" si="28"/>
        <v>0</v>
      </c>
      <c r="J78" s="1">
        <f>[3]COAL!$J$5</f>
        <v>0</v>
      </c>
      <c r="K78" s="1">
        <f>ROUND([3]COAL!$J$9/1000,4)</f>
        <v>0</v>
      </c>
      <c r="L78" s="35">
        <f t="shared" si="29"/>
        <v>0</v>
      </c>
      <c r="M78" s="1">
        <f>[3]COAL!$J$19</f>
        <v>0</v>
      </c>
      <c r="N78" s="1">
        <f>ROUND([3]COAL!$J$34/1000,4)</f>
        <v>0</v>
      </c>
      <c r="O78" s="35">
        <f t="shared" si="30"/>
        <v>0</v>
      </c>
      <c r="P78" s="1">
        <v>0</v>
      </c>
      <c r="Q78" s="1">
        <f>ROUND(SUM([3]COAL!$J$37:$J$38)/1000,4)</f>
        <v>0</v>
      </c>
      <c r="R78" s="35">
        <f t="shared" si="31"/>
        <v>0</v>
      </c>
      <c r="S78" s="1">
        <v>0</v>
      </c>
      <c r="T78" s="1">
        <v>0</v>
      </c>
      <c r="U78" s="35">
        <f t="shared" si="32"/>
        <v>0</v>
      </c>
      <c r="V78" s="1">
        <f>'[7]System Inventory'!$J$128</f>
        <v>0</v>
      </c>
      <c r="W78" s="1">
        <f>'[7]System Inventory'!$J$130</f>
        <v>0</v>
      </c>
      <c r="X78" s="35">
        <f t="shared" si="33"/>
        <v>0</v>
      </c>
      <c r="Y78" s="37"/>
      <c r="Z78" s="38">
        <f t="shared" si="34"/>
        <v>0</v>
      </c>
      <c r="AA78" s="38">
        <f t="shared" si="35"/>
        <v>0</v>
      </c>
    </row>
    <row r="79" spans="1:27" ht="14.1" customHeight="1" x14ac:dyDescent="0.2">
      <c r="A79" s="11">
        <v>34</v>
      </c>
      <c r="B79" s="20"/>
      <c r="C79" s="20"/>
      <c r="D79" s="8" t="s">
        <v>45</v>
      </c>
      <c r="E79" s="8" t="s">
        <v>36</v>
      </c>
      <c r="F79" s="1"/>
      <c r="G79" s="1">
        <f t="shared" si="36"/>
        <v>0</v>
      </c>
      <c r="H79" s="1">
        <f t="shared" si="37"/>
        <v>0</v>
      </c>
      <c r="I79" s="35">
        <f t="shared" si="28"/>
        <v>0</v>
      </c>
      <c r="J79" s="1">
        <f>[3]COAL!$K$5</f>
        <v>0</v>
      </c>
      <c r="K79" s="1">
        <f>ROUND([3]COAL!$K$9/1000,4)</f>
        <v>0</v>
      </c>
      <c r="L79" s="35">
        <f t="shared" si="29"/>
        <v>0</v>
      </c>
      <c r="M79" s="1">
        <f>[3]COAL!$K$19</f>
        <v>0</v>
      </c>
      <c r="N79" s="1">
        <f>ROUND([3]COAL!$K$34/1000,4)</f>
        <v>0</v>
      </c>
      <c r="O79" s="35">
        <f t="shared" si="30"/>
        <v>0</v>
      </c>
      <c r="P79" s="1">
        <v>0</v>
      </c>
      <c r="Q79" s="1">
        <f>ROUND(SUM([3]COAL!$K$37:$K$38)/1000,4)</f>
        <v>0</v>
      </c>
      <c r="R79" s="35">
        <f t="shared" si="31"/>
        <v>0</v>
      </c>
      <c r="S79" s="1">
        <v>0</v>
      </c>
      <c r="T79" s="1">
        <v>0</v>
      </c>
      <c r="U79" s="35">
        <f t="shared" si="32"/>
        <v>0</v>
      </c>
      <c r="V79" s="1">
        <f>'[7]System Inventory'!$K$128</f>
        <v>0</v>
      </c>
      <c r="W79" s="1">
        <f>'[7]System Inventory'!$K$130</f>
        <v>0</v>
      </c>
      <c r="X79" s="35">
        <f t="shared" si="33"/>
        <v>0</v>
      </c>
      <c r="Y79" s="37"/>
      <c r="Z79" s="38">
        <f t="shared" si="34"/>
        <v>0</v>
      </c>
      <c r="AA79" s="38">
        <f t="shared" si="35"/>
        <v>0</v>
      </c>
    </row>
    <row r="80" spans="1:27" ht="14.1" customHeight="1" x14ac:dyDescent="0.2">
      <c r="A80" s="11">
        <v>35</v>
      </c>
      <c r="B80" s="20"/>
      <c r="C80" s="20"/>
      <c r="D80" s="1" t="s">
        <v>46</v>
      </c>
      <c r="E80" s="8" t="s">
        <v>36</v>
      </c>
      <c r="F80" s="1"/>
      <c r="G80" s="1">
        <f t="shared" si="36"/>
        <v>0</v>
      </c>
      <c r="H80" s="1">
        <f t="shared" si="37"/>
        <v>0</v>
      </c>
      <c r="I80" s="35">
        <f t="shared" si="28"/>
        <v>0</v>
      </c>
      <c r="J80" s="1">
        <f>[3]COAL!$L$5</f>
        <v>0</v>
      </c>
      <c r="K80" s="1">
        <f>ROUND([3]COAL!$L$9/1000,4)</f>
        <v>0</v>
      </c>
      <c r="L80" s="35">
        <f t="shared" si="29"/>
        <v>0</v>
      </c>
      <c r="M80" s="1">
        <f>[3]COAL!$L$19</f>
        <v>0</v>
      </c>
      <c r="N80" s="1">
        <f>ROUND([3]COAL!$L$34/1000,4)</f>
        <v>0</v>
      </c>
      <c r="O80" s="35">
        <f t="shared" si="30"/>
        <v>0</v>
      </c>
      <c r="P80" s="1">
        <v>0</v>
      </c>
      <c r="Q80" s="1">
        <f>ROUND(SUM([3]COAL!$L$37:$L$38)/1000,4)</f>
        <v>0</v>
      </c>
      <c r="R80" s="35">
        <f t="shared" si="31"/>
        <v>0</v>
      </c>
      <c r="S80" s="1">
        <v>0</v>
      </c>
      <c r="T80" s="1">
        <v>0</v>
      </c>
      <c r="U80" s="35">
        <f t="shared" si="32"/>
        <v>0</v>
      </c>
      <c r="V80" s="1">
        <f>'[7]System Inventory'!$L$128</f>
        <v>0</v>
      </c>
      <c r="W80" s="1">
        <f>'[7]System Inventory'!$L$130</f>
        <v>0</v>
      </c>
      <c r="X80" s="35">
        <f t="shared" si="33"/>
        <v>0</v>
      </c>
      <c r="Y80" s="37"/>
      <c r="Z80" s="38">
        <f t="shared" si="34"/>
        <v>0</v>
      </c>
      <c r="AA80" s="38">
        <f t="shared" si="35"/>
        <v>0</v>
      </c>
    </row>
    <row r="81" spans="1:27" ht="14.1" customHeight="1" x14ac:dyDescent="0.2">
      <c r="A81" s="11">
        <v>36</v>
      </c>
      <c r="B81" s="20"/>
      <c r="C81" s="20"/>
      <c r="D81" s="8" t="s">
        <v>33</v>
      </c>
      <c r="E81" s="8" t="s">
        <v>36</v>
      </c>
      <c r="F81" s="1"/>
      <c r="G81" s="1">
        <f t="shared" si="36"/>
        <v>0</v>
      </c>
      <c r="H81" s="1">
        <f t="shared" si="37"/>
        <v>0</v>
      </c>
      <c r="I81" s="35">
        <f t="shared" si="28"/>
        <v>0</v>
      </c>
      <c r="J81" s="1">
        <f>[3]COAL!$M$5</f>
        <v>0</v>
      </c>
      <c r="K81" s="1">
        <f>ROUND([3]COAL!$M$9/1000,4)</f>
        <v>0</v>
      </c>
      <c r="L81" s="35">
        <f t="shared" si="29"/>
        <v>0</v>
      </c>
      <c r="M81" s="1">
        <f>[3]COAL!$M$19</f>
        <v>0</v>
      </c>
      <c r="N81" s="1">
        <f>ROUND([3]COAL!$M$34/1000,4)</f>
        <v>0</v>
      </c>
      <c r="O81" s="35">
        <f t="shared" si="30"/>
        <v>0</v>
      </c>
      <c r="P81" s="1">
        <v>0</v>
      </c>
      <c r="Q81" s="1">
        <f>ROUND(SUM([3]COAL!$M$37:$M$38)/1000,4)</f>
        <v>0</v>
      </c>
      <c r="R81" s="35">
        <f t="shared" si="31"/>
        <v>0</v>
      </c>
      <c r="S81" s="1">
        <v>0</v>
      </c>
      <c r="T81" s="1">
        <v>0</v>
      </c>
      <c r="U81" s="35">
        <f t="shared" si="32"/>
        <v>0</v>
      </c>
      <c r="V81" s="1">
        <f>'[7]System Inventory'!$M$128</f>
        <v>0</v>
      </c>
      <c r="W81" s="1">
        <f>'[7]System Inventory'!$M$130</f>
        <v>0</v>
      </c>
      <c r="X81" s="35">
        <f t="shared" si="33"/>
        <v>0</v>
      </c>
      <c r="Y81" s="37"/>
      <c r="Z81" s="38">
        <f t="shared" si="34"/>
        <v>0</v>
      </c>
      <c r="AA81" s="38">
        <f t="shared" si="35"/>
        <v>0</v>
      </c>
    </row>
    <row r="82" spans="1:27" ht="14.1" customHeight="1" thickBot="1" x14ac:dyDescent="0.25">
      <c r="A82" s="11">
        <v>37</v>
      </c>
      <c r="C82" s="58" t="s">
        <v>47</v>
      </c>
      <c r="D82" s="1"/>
      <c r="E82" s="1"/>
      <c r="F82" s="35"/>
      <c r="G82" s="1"/>
      <c r="H82" s="1"/>
      <c r="I82" s="35"/>
      <c r="J82" s="22">
        <f>SUM(J70:J81)</f>
        <v>0</v>
      </c>
      <c r="K82" s="23">
        <f>SUM(K70:K81)</f>
        <v>0</v>
      </c>
      <c r="L82" s="24">
        <v>0</v>
      </c>
      <c r="M82" s="22">
        <f>SUM(M70:M81)</f>
        <v>0</v>
      </c>
      <c r="N82" s="23">
        <f>SUM(N70:N81)</f>
        <v>0</v>
      </c>
      <c r="O82" s="24">
        <v>0</v>
      </c>
      <c r="P82" s="22">
        <f>SUM(P70:P81)</f>
        <v>0</v>
      </c>
      <c r="Q82" s="23">
        <f>SUM(Q70:Q81)</f>
        <v>0</v>
      </c>
      <c r="R82" s="24">
        <v>0</v>
      </c>
      <c r="S82" s="22">
        <f>SUM(S69:S81)</f>
        <v>0</v>
      </c>
      <c r="T82" s="23">
        <f>SUM(T69:T81)</f>
        <v>0</v>
      </c>
      <c r="U82" s="24">
        <v>0</v>
      </c>
      <c r="V82" s="12"/>
      <c r="W82" s="28"/>
      <c r="X82" s="19"/>
    </row>
    <row r="83" spans="1:27" ht="14.1" customHeight="1" thickTop="1" x14ac:dyDescent="0.2">
      <c r="A83" s="11">
        <v>38</v>
      </c>
      <c r="D83" s="1"/>
      <c r="E83" s="1"/>
      <c r="F83" s="35"/>
      <c r="G83" s="1"/>
      <c r="H83" s="12"/>
      <c r="I83" s="59"/>
      <c r="J83" s="12"/>
      <c r="K83" s="12"/>
      <c r="L83" s="59"/>
      <c r="M83" s="12"/>
      <c r="N83" s="12"/>
      <c r="O83" s="59"/>
      <c r="P83" s="12"/>
      <c r="Q83" s="12"/>
      <c r="R83" s="59"/>
      <c r="S83" s="12"/>
      <c r="T83" s="12"/>
      <c r="U83" s="59"/>
      <c r="V83" s="12"/>
      <c r="W83" s="12"/>
      <c r="X83" s="59"/>
    </row>
    <row r="84" spans="1:27" ht="14.1" customHeight="1" thickBot="1" x14ac:dyDescent="0.25">
      <c r="A84" s="11">
        <v>39</v>
      </c>
      <c r="B84" s="52"/>
      <c r="C84" s="58" t="s">
        <v>48</v>
      </c>
      <c r="D84" s="1"/>
      <c r="E84" s="1"/>
      <c r="F84" s="35"/>
      <c r="G84" s="25">
        <f>AVERAGE(G69:G81)</f>
        <v>0</v>
      </c>
      <c r="H84" s="26">
        <f>AVERAGE(H69:H81)</f>
        <v>0</v>
      </c>
      <c r="I84" s="27">
        <f>IFERROR(H84*1000/G84,0)</f>
        <v>0</v>
      </c>
      <c r="J84" s="25">
        <f>AVERAGE(J69:J81)</f>
        <v>0</v>
      </c>
      <c r="K84" s="26">
        <f>AVERAGE(K69:K81)</f>
        <v>0</v>
      </c>
      <c r="L84" s="27">
        <f>IFERROR(K84*1000/J84,0)</f>
        <v>0</v>
      </c>
      <c r="M84" s="25">
        <f>AVERAGE(M69:M81)</f>
        <v>0</v>
      </c>
      <c r="N84" s="26">
        <f>AVERAGE(N69:N81)</f>
        <v>0</v>
      </c>
      <c r="O84" s="27">
        <f>IFERROR(N84*1000/M84,0)</f>
        <v>0</v>
      </c>
      <c r="P84" s="25">
        <f>AVERAGE(P69:P81)</f>
        <v>0</v>
      </c>
      <c r="Q84" s="26">
        <f>AVERAGE(Q69:Q81)</f>
        <v>0</v>
      </c>
      <c r="R84" s="27">
        <f>IFERROR(Q84*1000/P84,0)</f>
        <v>0</v>
      </c>
      <c r="S84" s="25">
        <f>AVERAGE(S69:S81)</f>
        <v>0</v>
      </c>
      <c r="T84" s="26">
        <f>AVERAGE(T69:T81)</f>
        <v>0</v>
      </c>
      <c r="U84" s="27">
        <f>IFERROR(T84*1000/S84,0)</f>
        <v>0</v>
      </c>
      <c r="V84" s="25">
        <f>AVERAGE(V69:V81)</f>
        <v>0</v>
      </c>
      <c r="W84" s="26">
        <f>AVERAGE(W69:W81)</f>
        <v>0</v>
      </c>
      <c r="X84" s="27">
        <f>IFERROR(W84*1000/V84,0)</f>
        <v>0</v>
      </c>
    </row>
    <row r="85" spans="1:27" ht="14.1" customHeight="1" thickTop="1" x14ac:dyDescent="0.2">
      <c r="A85" s="11">
        <v>40</v>
      </c>
      <c r="B85" s="11" t="s">
        <v>49</v>
      </c>
      <c r="C85" s="7" t="s">
        <v>57</v>
      </c>
      <c r="D85" s="3"/>
      <c r="F85" s="4"/>
      <c r="G85" s="4"/>
      <c r="H85" s="4"/>
      <c r="I85" s="4"/>
      <c r="J85" s="2"/>
      <c r="K85" s="4"/>
      <c r="L85" s="2"/>
      <c r="M85" s="4"/>
      <c r="N85" s="4"/>
      <c r="O85" s="4"/>
      <c r="P85" s="4"/>
      <c r="Q85" s="4"/>
      <c r="R85" s="4"/>
      <c r="S85" s="4"/>
      <c r="V85" s="2"/>
      <c r="W85" s="2"/>
    </row>
    <row r="86" spans="1:27" ht="14.1" customHeight="1" x14ac:dyDescent="0.2">
      <c r="A86" s="11">
        <v>41</v>
      </c>
      <c r="C86" s="7" t="s">
        <v>58</v>
      </c>
      <c r="D86" s="3"/>
      <c r="F86" s="4"/>
      <c r="G86" s="4"/>
      <c r="H86" s="4"/>
      <c r="I86" s="4"/>
      <c r="J86" s="2"/>
      <c r="K86" s="4"/>
      <c r="L86" s="2"/>
      <c r="M86" s="4"/>
      <c r="N86" s="4"/>
      <c r="O86" s="4"/>
      <c r="P86" s="4"/>
      <c r="Q86" s="4"/>
      <c r="R86" s="4"/>
      <c r="S86" s="4"/>
      <c r="V86" s="2"/>
      <c r="W86" s="2"/>
    </row>
    <row r="87" spans="1:27" ht="14.1" customHeight="1" thickBot="1" x14ac:dyDescent="0.25">
      <c r="A87" s="34">
        <v>42</v>
      </c>
      <c r="B87" s="60" t="s">
        <v>59</v>
      </c>
      <c r="C87" s="5"/>
      <c r="D87" s="5"/>
      <c r="E87" s="34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34"/>
      <c r="U87" s="34"/>
      <c r="V87" s="34"/>
      <c r="W87" s="34"/>
      <c r="X87" s="34"/>
    </row>
    <row r="88" spans="1:27" ht="14.1" customHeight="1" x14ac:dyDescent="0.2">
      <c r="A88" s="11" t="s">
        <v>52</v>
      </c>
      <c r="S88" s="4"/>
      <c r="V88" s="11" t="s">
        <v>53</v>
      </c>
    </row>
    <row r="89" spans="1:27" ht="14.1" customHeight="1" thickBot="1" x14ac:dyDescent="0.25">
      <c r="A89" s="34" t="s">
        <v>0</v>
      </c>
      <c r="B89" s="34"/>
      <c r="C89" s="34"/>
      <c r="D89" s="34"/>
      <c r="E89" s="77" t="s">
        <v>1</v>
      </c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34"/>
      <c r="V89" s="34"/>
      <c r="W89" s="34"/>
      <c r="X89" s="34" t="s">
        <v>60</v>
      </c>
    </row>
    <row r="90" spans="1:27" ht="14.1" customHeight="1" x14ac:dyDescent="0.2">
      <c r="A90" s="11" t="s">
        <v>3</v>
      </c>
      <c r="H90" s="11" t="s">
        <v>4</v>
      </c>
      <c r="J90" s="11" t="s">
        <v>5</v>
      </c>
      <c r="K90" s="42"/>
      <c r="L90" s="42"/>
      <c r="N90" s="42"/>
      <c r="O90" s="42"/>
      <c r="T90" s="32"/>
      <c r="U90" s="42" t="s">
        <v>6</v>
      </c>
      <c r="X90" s="32"/>
    </row>
    <row r="91" spans="1:27" ht="14.1" customHeight="1" x14ac:dyDescent="0.2">
      <c r="J91" s="11" t="s">
        <v>7</v>
      </c>
      <c r="K91" s="43"/>
      <c r="L91" s="32"/>
      <c r="O91" s="43"/>
      <c r="T91" s="32"/>
      <c r="U91" s="43" t="s">
        <v>8</v>
      </c>
      <c r="V91" s="32" t="s">
        <v>9</v>
      </c>
      <c r="X91" s="43"/>
    </row>
    <row r="92" spans="1:27" ht="14.1" customHeight="1" x14ac:dyDescent="0.2">
      <c r="A92" s="11" t="s">
        <v>10</v>
      </c>
      <c r="J92" s="11" t="s">
        <v>11</v>
      </c>
      <c r="K92" s="43"/>
      <c r="L92" s="32"/>
      <c r="M92" s="43"/>
      <c r="T92" s="32"/>
      <c r="U92" s="43"/>
      <c r="V92" s="32" t="s">
        <v>12</v>
      </c>
      <c r="X92" s="43"/>
    </row>
    <row r="93" spans="1:27" ht="14.1" customHeight="1" x14ac:dyDescent="0.2">
      <c r="K93" s="43"/>
      <c r="L93" s="32"/>
      <c r="M93" s="43"/>
      <c r="T93" s="32"/>
      <c r="V93" s="32" t="s">
        <v>13</v>
      </c>
      <c r="X93" s="43"/>
    </row>
    <row r="94" spans="1:27" ht="14.1" customHeight="1" thickBot="1" x14ac:dyDescent="0.25">
      <c r="A94" s="34" t="s">
        <v>14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6"/>
      <c r="T94" s="34"/>
      <c r="U94" s="34"/>
      <c r="V94" s="34" t="s">
        <v>79</v>
      </c>
      <c r="W94" s="34"/>
      <c r="X94" s="34"/>
    </row>
    <row r="95" spans="1:27" ht="14.1" customHeight="1" x14ac:dyDescent="0.2"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15"/>
    </row>
    <row r="96" spans="1:27" ht="14.1" customHeight="1" x14ac:dyDescent="0.2"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15"/>
    </row>
    <row r="97" spans="1:27" ht="14.1" customHeight="1" x14ac:dyDescent="0.2">
      <c r="B97" s="40" t="s">
        <v>15</v>
      </c>
      <c r="C97" s="40"/>
      <c r="D97" s="40"/>
      <c r="E97" s="40"/>
      <c r="F97" s="40"/>
      <c r="G97" s="46"/>
      <c r="H97" s="46" t="s">
        <v>16</v>
      </c>
      <c r="I97" s="46"/>
      <c r="J97" s="47"/>
      <c r="K97" s="46" t="s">
        <v>17</v>
      </c>
      <c r="L97" s="47"/>
      <c r="M97" s="47"/>
      <c r="N97" s="47" t="s">
        <v>18</v>
      </c>
      <c r="O97" s="46"/>
      <c r="P97" s="46"/>
      <c r="Q97" s="47" t="s">
        <v>61</v>
      </c>
      <c r="R97" s="46"/>
      <c r="S97" s="16"/>
      <c r="T97" s="47" t="s">
        <v>20</v>
      </c>
      <c r="U97" s="47"/>
      <c r="V97" s="48"/>
      <c r="W97" s="46" t="s">
        <v>21</v>
      </c>
      <c r="X97" s="48"/>
    </row>
    <row r="98" spans="1:27" ht="14.1" customHeight="1" x14ac:dyDescent="0.2">
      <c r="A98" s="11" t="s">
        <v>22</v>
      </c>
      <c r="B98" s="32" t="s">
        <v>23</v>
      </c>
      <c r="C98" s="40"/>
      <c r="D98" s="40" t="s">
        <v>24</v>
      </c>
      <c r="E98" s="40" t="s">
        <v>25</v>
      </c>
      <c r="F98" s="40"/>
      <c r="G98" s="44" t="s">
        <v>26</v>
      </c>
      <c r="H98" s="40" t="s">
        <v>27</v>
      </c>
      <c r="I98" s="40" t="s">
        <v>28</v>
      </c>
      <c r="J98" s="44" t="s">
        <v>26</v>
      </c>
      <c r="K98" s="40" t="s">
        <v>27</v>
      </c>
      <c r="L98" s="40" t="s">
        <v>28</v>
      </c>
      <c r="M98" s="44" t="s">
        <v>26</v>
      </c>
      <c r="N98" s="40" t="s">
        <v>27</v>
      </c>
      <c r="O98" s="40" t="s">
        <v>28</v>
      </c>
      <c r="P98" s="44" t="s">
        <v>26</v>
      </c>
      <c r="Q98" s="40" t="s">
        <v>27</v>
      </c>
      <c r="R98" s="40" t="s">
        <v>28</v>
      </c>
      <c r="S98" s="17" t="s">
        <v>26</v>
      </c>
      <c r="T98" s="40" t="s">
        <v>27</v>
      </c>
      <c r="U98" s="40" t="s">
        <v>28</v>
      </c>
      <c r="V98" s="44" t="s">
        <v>26</v>
      </c>
      <c r="W98" s="40" t="s">
        <v>27</v>
      </c>
      <c r="X98" s="40" t="s">
        <v>28</v>
      </c>
    </row>
    <row r="99" spans="1:27" ht="14.1" customHeight="1" thickBot="1" x14ac:dyDescent="0.25">
      <c r="A99" s="34" t="s">
        <v>29</v>
      </c>
      <c r="B99" s="41"/>
      <c r="C99" s="41"/>
      <c r="D99" s="41"/>
      <c r="E99" s="41"/>
      <c r="F99" s="41"/>
      <c r="G99" s="49"/>
      <c r="H99" s="41"/>
      <c r="I99" s="49"/>
      <c r="J99" s="49"/>
      <c r="K99" s="49"/>
      <c r="L99" s="49"/>
      <c r="M99" s="50"/>
      <c r="N99" s="49"/>
      <c r="O99" s="51"/>
      <c r="P99" s="50"/>
      <c r="Q99" s="49"/>
      <c r="R99" s="49"/>
      <c r="S99" s="18"/>
      <c r="T99" s="34"/>
      <c r="U99" s="34"/>
      <c r="V99" s="34"/>
      <c r="W99" s="34"/>
      <c r="X99" s="34"/>
    </row>
    <row r="100" spans="1:27" ht="14.1" customHeight="1" x14ac:dyDescent="0.2">
      <c r="A100" s="11">
        <v>1</v>
      </c>
      <c r="B100" s="52" t="s">
        <v>62</v>
      </c>
      <c r="I100" s="67"/>
      <c r="S100" s="20"/>
      <c r="W100" s="53"/>
      <c r="X100" s="53"/>
    </row>
    <row r="101" spans="1:27" ht="14.1" customHeight="1" x14ac:dyDescent="0.2">
      <c r="A101" s="11">
        <v>2</v>
      </c>
      <c r="B101" s="11" t="s">
        <v>56</v>
      </c>
      <c r="D101" s="12"/>
      <c r="E101" s="12"/>
      <c r="F101" s="35"/>
      <c r="G101" s="12"/>
      <c r="H101" s="12"/>
      <c r="I101" s="35"/>
      <c r="J101" s="12"/>
      <c r="K101" s="12"/>
      <c r="L101" s="35"/>
      <c r="M101" s="1"/>
      <c r="N101" s="12"/>
      <c r="O101" s="35"/>
      <c r="P101" s="1"/>
      <c r="Q101" s="1"/>
      <c r="R101" s="1"/>
      <c r="S101" s="29"/>
      <c r="T101" s="12"/>
      <c r="U101" s="35"/>
      <c r="V101" s="1"/>
      <c r="W101" s="1"/>
      <c r="X101" s="1"/>
    </row>
    <row r="102" spans="1:27" ht="14.1" customHeight="1" x14ac:dyDescent="0.2">
      <c r="A102" s="11">
        <v>3</v>
      </c>
      <c r="D102" s="12"/>
      <c r="E102" s="12"/>
      <c r="F102" s="35"/>
      <c r="G102" s="12"/>
      <c r="H102" s="12"/>
      <c r="I102" s="35"/>
      <c r="J102" s="12"/>
      <c r="K102" s="12"/>
      <c r="L102" s="35"/>
      <c r="M102" s="1"/>
      <c r="N102" s="12"/>
      <c r="O102" s="35"/>
      <c r="P102" s="1"/>
      <c r="Q102" s="1"/>
      <c r="R102" s="1"/>
      <c r="S102" s="12"/>
      <c r="T102" s="12"/>
      <c r="U102" s="35"/>
      <c r="V102" s="1"/>
      <c r="W102" s="1"/>
      <c r="X102" s="35"/>
      <c r="Z102" s="55" t="s">
        <v>32</v>
      </c>
      <c r="AA102" s="55" t="s">
        <v>32</v>
      </c>
    </row>
    <row r="103" spans="1:27" ht="14.1" customHeight="1" x14ac:dyDescent="0.2">
      <c r="A103" s="11">
        <v>4</v>
      </c>
      <c r="D103" s="1" t="s">
        <v>33</v>
      </c>
      <c r="E103" s="8" t="s">
        <v>34</v>
      </c>
      <c r="F103" s="35"/>
      <c r="G103" s="1">
        <v>0</v>
      </c>
      <c r="H103" s="13">
        <v>0</v>
      </c>
      <c r="I103" s="13">
        <f>IFERROR(H103*1000/G103,0)</f>
        <v>0</v>
      </c>
      <c r="J103" s="1">
        <f>'[6]System Inventory'!$M$13</f>
        <v>0</v>
      </c>
      <c r="K103" s="13">
        <f>'[6]System Inventory'!$M$15</f>
        <v>0</v>
      </c>
      <c r="L103" s="13">
        <f>IFERROR(K103*1000/J103,0)</f>
        <v>0</v>
      </c>
      <c r="M103" s="12">
        <v>0</v>
      </c>
      <c r="N103" s="19">
        <v>0</v>
      </c>
      <c r="O103" s="13">
        <f>IFERROR(N103*1000/M103,0)</f>
        <v>0</v>
      </c>
      <c r="P103" s="1">
        <v>0</v>
      </c>
      <c r="Q103" s="13">
        <v>0</v>
      </c>
      <c r="R103" s="13">
        <f>IFERROR(Q103*1000/P103,0)</f>
        <v>0</v>
      </c>
      <c r="S103" s="1">
        <v>0</v>
      </c>
      <c r="T103" s="13">
        <v>0</v>
      </c>
      <c r="U103" s="13">
        <f>IFERROR(T103*1000/S103,0)</f>
        <v>0</v>
      </c>
      <c r="V103" s="1">
        <f>'[6]System Inventory'!$M$34</f>
        <v>0</v>
      </c>
      <c r="W103" s="13">
        <f>'[6]System Inventory'!$M$36</f>
        <v>0</v>
      </c>
      <c r="X103" s="13">
        <f>IFERROR(W103*1000/V103,0)</f>
        <v>0</v>
      </c>
      <c r="Y103" s="61"/>
      <c r="Z103" s="56">
        <f>+G103+J103-M103+S103-V103</f>
        <v>0</v>
      </c>
      <c r="AA103" s="56">
        <f>+H103+K103-N103+T103-W103</f>
        <v>0</v>
      </c>
    </row>
    <row r="104" spans="1:27" s="2" customFormat="1" ht="14.1" customHeight="1" x14ac:dyDescent="0.2">
      <c r="A104" s="11">
        <v>5</v>
      </c>
      <c r="B104" s="20"/>
      <c r="C104" s="20"/>
      <c r="D104" s="1" t="s">
        <v>35</v>
      </c>
      <c r="E104" s="8" t="s">
        <v>36</v>
      </c>
      <c r="F104" s="1"/>
      <c r="G104" s="1">
        <f>+V103</f>
        <v>0</v>
      </c>
      <c r="H104" s="1">
        <f>+W103</f>
        <v>0</v>
      </c>
      <c r="I104" s="35">
        <f t="shared" ref="I104:I115" si="38">IFERROR(H104*1000/G104,0)</f>
        <v>0</v>
      </c>
      <c r="J104" s="1">
        <f>'[7]System Inventory'!$B$13</f>
        <v>0</v>
      </c>
      <c r="K104" s="1">
        <f>'[7]System Inventory'!$B$15</f>
        <v>0</v>
      </c>
      <c r="L104" s="1">
        <f t="shared" ref="L104:L115" si="39">IFERROR(K104*1000/J104,0)</f>
        <v>0</v>
      </c>
      <c r="M104" s="1">
        <v>0</v>
      </c>
      <c r="N104" s="1">
        <v>0</v>
      </c>
      <c r="O104" s="1">
        <f t="shared" ref="O104:O115" si="40">IFERROR(N104*1000/M104,0)</f>
        <v>0</v>
      </c>
      <c r="P104" s="1">
        <v>0</v>
      </c>
      <c r="Q104" s="1">
        <v>0</v>
      </c>
      <c r="R104" s="1">
        <f t="shared" ref="R104:R115" si="41">IFERROR(Q104*1000/P104,0)</f>
        <v>0</v>
      </c>
      <c r="S104" s="1">
        <v>0</v>
      </c>
      <c r="T104" s="1">
        <v>0</v>
      </c>
      <c r="U104" s="1">
        <f t="shared" ref="U104:U115" si="42">IFERROR(T104*1000/S104,0)</f>
        <v>0</v>
      </c>
      <c r="V104" s="1">
        <f>'[7]System Inventory'!$B$34</f>
        <v>0</v>
      </c>
      <c r="W104" s="1">
        <f>'[7]System Inventory'!$B$36</f>
        <v>0</v>
      </c>
      <c r="X104" s="35">
        <f t="shared" ref="X104:X115" si="43">IFERROR(W104*1000/V104,0)</f>
        <v>0</v>
      </c>
      <c r="Y104" s="37"/>
      <c r="Z104" s="38">
        <f t="shared" ref="Z104:Z115" si="44">+G104+J104-M104+S104-V104</f>
        <v>0</v>
      </c>
      <c r="AA104" s="38">
        <f t="shared" ref="AA104:AA115" si="45">+H104+K104-N104+T104-W104</f>
        <v>0</v>
      </c>
    </row>
    <row r="105" spans="1:27" s="2" customFormat="1" ht="14.1" customHeight="1" x14ac:dyDescent="0.2">
      <c r="A105" s="11">
        <v>6</v>
      </c>
      <c r="B105" s="36"/>
      <c r="C105" s="20"/>
      <c r="D105" s="1" t="s">
        <v>37</v>
      </c>
      <c r="E105" s="8" t="s">
        <v>36</v>
      </c>
      <c r="F105" s="1"/>
      <c r="G105" s="1">
        <f t="shared" ref="G105:G115" si="46">+V104</f>
        <v>0</v>
      </c>
      <c r="H105" s="1">
        <f t="shared" ref="H105:H115" si="47">+W104</f>
        <v>0</v>
      </c>
      <c r="I105" s="35">
        <f t="shared" si="38"/>
        <v>0</v>
      </c>
      <c r="J105" s="1">
        <f>'[7]System Inventory'!$C$13</f>
        <v>0</v>
      </c>
      <c r="K105" s="1">
        <f>'[7]System Inventory'!$C$15</f>
        <v>0</v>
      </c>
      <c r="L105" s="1">
        <f t="shared" si="39"/>
        <v>0</v>
      </c>
      <c r="M105" s="1">
        <v>0</v>
      </c>
      <c r="N105" s="1">
        <v>0</v>
      </c>
      <c r="O105" s="1">
        <f t="shared" si="40"/>
        <v>0</v>
      </c>
      <c r="P105" s="1">
        <v>0</v>
      </c>
      <c r="Q105" s="1">
        <v>0</v>
      </c>
      <c r="R105" s="1">
        <f t="shared" si="41"/>
        <v>0</v>
      </c>
      <c r="S105" s="1">
        <v>0</v>
      </c>
      <c r="T105" s="1">
        <v>0</v>
      </c>
      <c r="U105" s="1">
        <f t="shared" si="42"/>
        <v>0</v>
      </c>
      <c r="V105" s="1">
        <f>'[7]System Inventory'!$C$34</f>
        <v>0</v>
      </c>
      <c r="W105" s="1">
        <f>'[7]System Inventory'!$C$36</f>
        <v>0</v>
      </c>
      <c r="X105" s="35">
        <f t="shared" si="43"/>
        <v>0</v>
      </c>
      <c r="Y105" s="37"/>
      <c r="Z105" s="38">
        <f>+G105+J105-M105+S105-V105</f>
        <v>0</v>
      </c>
      <c r="AA105" s="38">
        <f t="shared" si="45"/>
        <v>0</v>
      </c>
    </row>
    <row r="106" spans="1:27" s="2" customFormat="1" ht="14.1" customHeight="1" x14ac:dyDescent="0.2">
      <c r="A106" s="11">
        <v>7</v>
      </c>
      <c r="B106" s="20"/>
      <c r="C106" s="20"/>
      <c r="D106" s="1" t="s">
        <v>38</v>
      </c>
      <c r="E106" s="8" t="s">
        <v>36</v>
      </c>
      <c r="F106" s="1"/>
      <c r="G106" s="1">
        <f t="shared" si="46"/>
        <v>0</v>
      </c>
      <c r="H106" s="1">
        <f t="shared" si="47"/>
        <v>0</v>
      </c>
      <c r="I106" s="35">
        <f t="shared" si="38"/>
        <v>0</v>
      </c>
      <c r="J106" s="1">
        <f>'[7]System Inventory'!$D$13</f>
        <v>0</v>
      </c>
      <c r="K106" s="1">
        <f>'[7]System Inventory'!$D$15</f>
        <v>0</v>
      </c>
      <c r="L106" s="1">
        <f t="shared" si="39"/>
        <v>0</v>
      </c>
      <c r="M106" s="1">
        <v>0</v>
      </c>
      <c r="N106" s="1">
        <v>0</v>
      </c>
      <c r="O106" s="1">
        <f t="shared" si="40"/>
        <v>0</v>
      </c>
      <c r="P106" s="1">
        <v>0</v>
      </c>
      <c r="Q106" s="1">
        <v>0</v>
      </c>
      <c r="R106" s="1">
        <f t="shared" si="41"/>
        <v>0</v>
      </c>
      <c r="S106" s="1">
        <v>0</v>
      </c>
      <c r="T106" s="1">
        <v>0</v>
      </c>
      <c r="U106" s="1">
        <f t="shared" si="42"/>
        <v>0</v>
      </c>
      <c r="V106" s="1">
        <f>'[7]System Inventory'!$D$34</f>
        <v>0</v>
      </c>
      <c r="W106" s="1">
        <f>'[7]System Inventory'!$D$36</f>
        <v>0</v>
      </c>
      <c r="X106" s="35">
        <f t="shared" si="43"/>
        <v>0</v>
      </c>
      <c r="Y106" s="37"/>
      <c r="Z106" s="38">
        <f t="shared" si="44"/>
        <v>0</v>
      </c>
      <c r="AA106" s="38">
        <f t="shared" si="45"/>
        <v>0</v>
      </c>
    </row>
    <row r="107" spans="1:27" s="2" customFormat="1" ht="14.1" customHeight="1" x14ac:dyDescent="0.2">
      <c r="A107" s="11">
        <v>8</v>
      </c>
      <c r="B107" s="20"/>
      <c r="C107" s="20"/>
      <c r="D107" s="1" t="s">
        <v>39</v>
      </c>
      <c r="E107" s="8" t="s">
        <v>36</v>
      </c>
      <c r="F107" s="1"/>
      <c r="G107" s="1">
        <f t="shared" si="46"/>
        <v>0</v>
      </c>
      <c r="H107" s="1">
        <f t="shared" si="47"/>
        <v>0</v>
      </c>
      <c r="I107" s="35">
        <f t="shared" si="38"/>
        <v>0</v>
      </c>
      <c r="J107" s="1">
        <f>'[7]System Inventory'!$E$13</f>
        <v>0</v>
      </c>
      <c r="K107" s="1">
        <f>'[7]System Inventory'!$E$15</f>
        <v>0</v>
      </c>
      <c r="L107" s="1">
        <f t="shared" si="39"/>
        <v>0</v>
      </c>
      <c r="M107" s="1">
        <v>0</v>
      </c>
      <c r="N107" s="1">
        <v>0</v>
      </c>
      <c r="O107" s="1">
        <f t="shared" si="40"/>
        <v>0</v>
      </c>
      <c r="P107" s="1">
        <v>0</v>
      </c>
      <c r="Q107" s="1">
        <v>0</v>
      </c>
      <c r="R107" s="1">
        <f t="shared" si="41"/>
        <v>0</v>
      </c>
      <c r="S107" s="1">
        <v>0</v>
      </c>
      <c r="T107" s="1">
        <v>0</v>
      </c>
      <c r="U107" s="1">
        <f t="shared" si="42"/>
        <v>0</v>
      </c>
      <c r="V107" s="1">
        <f>'[7]System Inventory'!$E$34</f>
        <v>0</v>
      </c>
      <c r="W107" s="1">
        <f>'[7]System Inventory'!$E$36</f>
        <v>0</v>
      </c>
      <c r="X107" s="35">
        <f t="shared" si="43"/>
        <v>0</v>
      </c>
      <c r="Y107" s="37"/>
      <c r="Z107" s="38">
        <f t="shared" si="44"/>
        <v>0</v>
      </c>
      <c r="AA107" s="38">
        <f t="shared" si="45"/>
        <v>0</v>
      </c>
    </row>
    <row r="108" spans="1:27" s="2" customFormat="1" ht="14.1" customHeight="1" x14ac:dyDescent="0.2">
      <c r="A108" s="11">
        <v>9</v>
      </c>
      <c r="B108" s="20"/>
      <c r="C108" s="20"/>
      <c r="D108" s="1" t="s">
        <v>40</v>
      </c>
      <c r="E108" s="8" t="s">
        <v>36</v>
      </c>
      <c r="F108" s="1"/>
      <c r="G108" s="1">
        <f t="shared" si="46"/>
        <v>0</v>
      </c>
      <c r="H108" s="1">
        <f t="shared" si="47"/>
        <v>0</v>
      </c>
      <c r="I108" s="35">
        <f t="shared" si="38"/>
        <v>0</v>
      </c>
      <c r="J108" s="1">
        <f>'[7]System Inventory'!$F$13</f>
        <v>0</v>
      </c>
      <c r="K108" s="1">
        <f>'[7]System Inventory'!$F$15</f>
        <v>0</v>
      </c>
      <c r="L108" s="1">
        <f t="shared" si="39"/>
        <v>0</v>
      </c>
      <c r="M108" s="1">
        <v>0</v>
      </c>
      <c r="N108" s="1">
        <v>0</v>
      </c>
      <c r="O108" s="1">
        <f t="shared" si="40"/>
        <v>0</v>
      </c>
      <c r="P108" s="1">
        <v>0</v>
      </c>
      <c r="Q108" s="1">
        <v>0</v>
      </c>
      <c r="R108" s="1">
        <f t="shared" si="41"/>
        <v>0</v>
      </c>
      <c r="S108" s="1">
        <v>0</v>
      </c>
      <c r="T108" s="1">
        <v>0</v>
      </c>
      <c r="U108" s="1">
        <f t="shared" si="42"/>
        <v>0</v>
      </c>
      <c r="V108" s="1">
        <f>'[7]System Inventory'!$F$34</f>
        <v>0</v>
      </c>
      <c r="W108" s="1">
        <f>'[7]System Inventory'!$F$36</f>
        <v>0</v>
      </c>
      <c r="X108" s="35">
        <f t="shared" si="43"/>
        <v>0</v>
      </c>
      <c r="Y108" s="37"/>
      <c r="Z108" s="38">
        <f t="shared" si="44"/>
        <v>0</v>
      </c>
      <c r="AA108" s="38">
        <f t="shared" si="45"/>
        <v>0</v>
      </c>
    </row>
    <row r="109" spans="1:27" s="2" customFormat="1" ht="14.1" customHeight="1" x14ac:dyDescent="0.2">
      <c r="A109" s="11">
        <v>10</v>
      </c>
      <c r="B109" s="20"/>
      <c r="C109" s="20"/>
      <c r="D109" s="1" t="s">
        <v>41</v>
      </c>
      <c r="E109" s="8" t="s">
        <v>36</v>
      </c>
      <c r="F109" s="1"/>
      <c r="G109" s="1">
        <f t="shared" si="46"/>
        <v>0</v>
      </c>
      <c r="H109" s="1">
        <f t="shared" si="47"/>
        <v>0</v>
      </c>
      <c r="I109" s="35">
        <f t="shared" si="38"/>
        <v>0</v>
      </c>
      <c r="J109" s="1">
        <f>'[7]System Inventory'!$G$13</f>
        <v>0</v>
      </c>
      <c r="K109" s="1">
        <f>'[7]System Inventory'!$G$15</f>
        <v>0</v>
      </c>
      <c r="L109" s="1">
        <f t="shared" si="39"/>
        <v>0</v>
      </c>
      <c r="M109" s="1">
        <v>0</v>
      </c>
      <c r="N109" s="1">
        <v>0</v>
      </c>
      <c r="O109" s="1">
        <f t="shared" si="40"/>
        <v>0</v>
      </c>
      <c r="P109" s="1">
        <v>0</v>
      </c>
      <c r="Q109" s="1">
        <v>0</v>
      </c>
      <c r="R109" s="1">
        <f t="shared" si="41"/>
        <v>0</v>
      </c>
      <c r="S109" s="1">
        <v>0</v>
      </c>
      <c r="T109" s="1">
        <v>0</v>
      </c>
      <c r="U109" s="1">
        <f t="shared" si="42"/>
        <v>0</v>
      </c>
      <c r="V109" s="1">
        <f>'[7]System Inventory'!$G$34</f>
        <v>0</v>
      </c>
      <c r="W109" s="1">
        <f>'[7]System Inventory'!$G$36</f>
        <v>0</v>
      </c>
      <c r="X109" s="35">
        <f t="shared" si="43"/>
        <v>0</v>
      </c>
      <c r="Y109" s="37"/>
      <c r="Z109" s="38">
        <f t="shared" si="44"/>
        <v>0</v>
      </c>
      <c r="AA109" s="38">
        <f t="shared" si="45"/>
        <v>0</v>
      </c>
    </row>
    <row r="110" spans="1:27" s="2" customFormat="1" ht="14.1" customHeight="1" x14ac:dyDescent="0.2">
      <c r="A110" s="11">
        <v>11</v>
      </c>
      <c r="B110" s="39"/>
      <c r="C110" s="20"/>
      <c r="D110" s="1" t="s">
        <v>42</v>
      </c>
      <c r="E110" s="8" t="s">
        <v>36</v>
      </c>
      <c r="F110" s="1"/>
      <c r="G110" s="1">
        <f t="shared" si="46"/>
        <v>0</v>
      </c>
      <c r="H110" s="1">
        <f t="shared" si="47"/>
        <v>0</v>
      </c>
      <c r="I110" s="35">
        <f t="shared" si="38"/>
        <v>0</v>
      </c>
      <c r="J110" s="1">
        <f>'[7]System Inventory'!$H$13</f>
        <v>0</v>
      </c>
      <c r="K110" s="1">
        <f>'[7]System Inventory'!$H$15</f>
        <v>0</v>
      </c>
      <c r="L110" s="1">
        <f t="shared" si="39"/>
        <v>0</v>
      </c>
      <c r="M110" s="1">
        <v>0</v>
      </c>
      <c r="N110" s="1">
        <v>0</v>
      </c>
      <c r="O110" s="1">
        <f t="shared" si="40"/>
        <v>0</v>
      </c>
      <c r="P110" s="1">
        <v>0</v>
      </c>
      <c r="Q110" s="1">
        <v>0</v>
      </c>
      <c r="R110" s="1">
        <f t="shared" si="41"/>
        <v>0</v>
      </c>
      <c r="S110" s="1">
        <v>0</v>
      </c>
      <c r="T110" s="1">
        <v>0</v>
      </c>
      <c r="U110" s="1">
        <f t="shared" si="42"/>
        <v>0</v>
      </c>
      <c r="V110" s="1">
        <f>'[7]System Inventory'!$H$34</f>
        <v>0</v>
      </c>
      <c r="W110" s="1">
        <f>'[7]System Inventory'!$H$36</f>
        <v>0</v>
      </c>
      <c r="X110" s="35">
        <f t="shared" si="43"/>
        <v>0</v>
      </c>
      <c r="Y110" s="37"/>
      <c r="Z110" s="38">
        <f t="shared" si="44"/>
        <v>0</v>
      </c>
      <c r="AA110" s="38">
        <f t="shared" si="45"/>
        <v>0</v>
      </c>
    </row>
    <row r="111" spans="1:27" s="2" customFormat="1" ht="14.1" customHeight="1" x14ac:dyDescent="0.2">
      <c r="A111" s="11">
        <v>12</v>
      </c>
      <c r="B111" s="39"/>
      <c r="C111" s="20"/>
      <c r="D111" s="1" t="s">
        <v>43</v>
      </c>
      <c r="E111" s="8" t="s">
        <v>36</v>
      </c>
      <c r="F111" s="1"/>
      <c r="G111" s="1">
        <f t="shared" si="46"/>
        <v>0</v>
      </c>
      <c r="H111" s="1">
        <f t="shared" si="47"/>
        <v>0</v>
      </c>
      <c r="I111" s="35">
        <f t="shared" si="38"/>
        <v>0</v>
      </c>
      <c r="J111" s="1">
        <f>'[7]System Inventory'!$I$13</f>
        <v>0</v>
      </c>
      <c r="K111" s="1">
        <f>'[7]System Inventory'!$I$15</f>
        <v>0</v>
      </c>
      <c r="L111" s="1">
        <f t="shared" si="39"/>
        <v>0</v>
      </c>
      <c r="M111" s="1">
        <v>0</v>
      </c>
      <c r="N111" s="1">
        <v>0</v>
      </c>
      <c r="O111" s="1">
        <f t="shared" si="40"/>
        <v>0</v>
      </c>
      <c r="P111" s="1">
        <v>0</v>
      </c>
      <c r="Q111" s="1">
        <v>0</v>
      </c>
      <c r="R111" s="1">
        <f t="shared" si="41"/>
        <v>0</v>
      </c>
      <c r="S111" s="1">
        <v>0</v>
      </c>
      <c r="T111" s="1">
        <v>0</v>
      </c>
      <c r="U111" s="1">
        <f t="shared" si="42"/>
        <v>0</v>
      </c>
      <c r="V111" s="1">
        <f>'[7]System Inventory'!$I$34</f>
        <v>0</v>
      </c>
      <c r="W111" s="1">
        <f>'[7]System Inventory'!$I$36</f>
        <v>0</v>
      </c>
      <c r="X111" s="35">
        <f t="shared" si="43"/>
        <v>0</v>
      </c>
      <c r="Y111" s="37"/>
      <c r="Z111" s="38">
        <f t="shared" si="44"/>
        <v>0</v>
      </c>
      <c r="AA111" s="38">
        <f t="shared" si="45"/>
        <v>0</v>
      </c>
    </row>
    <row r="112" spans="1:27" s="2" customFormat="1" ht="14.1" customHeight="1" x14ac:dyDescent="0.2">
      <c r="A112" s="11">
        <v>13</v>
      </c>
      <c r="B112" s="39"/>
      <c r="C112" s="20"/>
      <c r="D112" s="1" t="s">
        <v>44</v>
      </c>
      <c r="E112" s="8" t="s">
        <v>36</v>
      </c>
      <c r="F112" s="1"/>
      <c r="G112" s="1">
        <f t="shared" si="46"/>
        <v>0</v>
      </c>
      <c r="H112" s="1">
        <f t="shared" si="47"/>
        <v>0</v>
      </c>
      <c r="I112" s="35">
        <f t="shared" si="38"/>
        <v>0</v>
      </c>
      <c r="J112" s="1">
        <f>'[7]System Inventory'!$J$13</f>
        <v>0</v>
      </c>
      <c r="K112" s="1">
        <f>'[7]System Inventory'!$J$15</f>
        <v>0</v>
      </c>
      <c r="L112" s="1">
        <f t="shared" si="39"/>
        <v>0</v>
      </c>
      <c r="M112" s="1">
        <v>0</v>
      </c>
      <c r="N112" s="1">
        <v>0</v>
      </c>
      <c r="O112" s="1">
        <f t="shared" si="40"/>
        <v>0</v>
      </c>
      <c r="P112" s="1">
        <v>0</v>
      </c>
      <c r="Q112" s="1">
        <v>0</v>
      </c>
      <c r="R112" s="1">
        <f t="shared" si="41"/>
        <v>0</v>
      </c>
      <c r="S112" s="1">
        <v>0</v>
      </c>
      <c r="T112" s="1">
        <v>0</v>
      </c>
      <c r="U112" s="1">
        <f t="shared" si="42"/>
        <v>0</v>
      </c>
      <c r="V112" s="1">
        <f>'[7]System Inventory'!$J$34</f>
        <v>0</v>
      </c>
      <c r="W112" s="1">
        <f>'[7]System Inventory'!$J$36</f>
        <v>0</v>
      </c>
      <c r="X112" s="35">
        <f t="shared" si="43"/>
        <v>0</v>
      </c>
      <c r="Y112" s="37"/>
      <c r="Z112" s="38">
        <f t="shared" si="44"/>
        <v>0</v>
      </c>
      <c r="AA112" s="38">
        <f t="shared" si="45"/>
        <v>0</v>
      </c>
    </row>
    <row r="113" spans="1:27" s="2" customFormat="1" ht="14.1" customHeight="1" x14ac:dyDescent="0.2">
      <c r="A113" s="11">
        <v>14</v>
      </c>
      <c r="C113" s="20"/>
      <c r="D113" s="1" t="s">
        <v>45</v>
      </c>
      <c r="E113" s="8" t="s">
        <v>36</v>
      </c>
      <c r="F113" s="1"/>
      <c r="G113" s="1">
        <f t="shared" si="46"/>
        <v>0</v>
      </c>
      <c r="H113" s="1">
        <f t="shared" si="47"/>
        <v>0</v>
      </c>
      <c r="I113" s="35">
        <f t="shared" si="38"/>
        <v>0</v>
      </c>
      <c r="J113" s="1">
        <f>'[7]System Inventory'!$K$13</f>
        <v>0</v>
      </c>
      <c r="K113" s="1">
        <f>'[7]System Inventory'!$K$15</f>
        <v>0</v>
      </c>
      <c r="L113" s="1">
        <f t="shared" si="39"/>
        <v>0</v>
      </c>
      <c r="M113" s="1">
        <v>0</v>
      </c>
      <c r="N113" s="1">
        <v>0</v>
      </c>
      <c r="O113" s="1">
        <f t="shared" si="40"/>
        <v>0</v>
      </c>
      <c r="P113" s="1">
        <v>0</v>
      </c>
      <c r="Q113" s="1">
        <v>0</v>
      </c>
      <c r="R113" s="1">
        <f t="shared" si="41"/>
        <v>0</v>
      </c>
      <c r="S113" s="1">
        <v>0</v>
      </c>
      <c r="T113" s="1">
        <v>0</v>
      </c>
      <c r="U113" s="1">
        <f t="shared" si="42"/>
        <v>0</v>
      </c>
      <c r="V113" s="1">
        <f>'[7]System Inventory'!$K$34</f>
        <v>0</v>
      </c>
      <c r="W113" s="1">
        <f>'[7]System Inventory'!$K$36</f>
        <v>0</v>
      </c>
      <c r="X113" s="35">
        <f t="shared" si="43"/>
        <v>0</v>
      </c>
      <c r="Y113" s="37"/>
      <c r="Z113" s="38">
        <f t="shared" si="44"/>
        <v>0</v>
      </c>
      <c r="AA113" s="38">
        <f t="shared" si="45"/>
        <v>0</v>
      </c>
    </row>
    <row r="114" spans="1:27" s="2" customFormat="1" ht="14.1" customHeight="1" x14ac:dyDescent="0.2">
      <c r="A114" s="11">
        <v>15</v>
      </c>
      <c r="B114" s="39"/>
      <c r="C114" s="20"/>
      <c r="D114" s="1" t="s">
        <v>46</v>
      </c>
      <c r="E114" s="8" t="s">
        <v>36</v>
      </c>
      <c r="F114" s="1"/>
      <c r="G114" s="1">
        <f t="shared" si="46"/>
        <v>0</v>
      </c>
      <c r="H114" s="1">
        <f t="shared" si="47"/>
        <v>0</v>
      </c>
      <c r="I114" s="35">
        <f t="shared" si="38"/>
        <v>0</v>
      </c>
      <c r="J114" s="1">
        <f>'[7]System Inventory'!$L$13</f>
        <v>0</v>
      </c>
      <c r="K114" s="1">
        <f>'[7]System Inventory'!$L$15</f>
        <v>0</v>
      </c>
      <c r="L114" s="1">
        <f t="shared" si="39"/>
        <v>0</v>
      </c>
      <c r="M114" s="1">
        <v>0</v>
      </c>
      <c r="N114" s="1">
        <v>0</v>
      </c>
      <c r="O114" s="1">
        <f t="shared" si="40"/>
        <v>0</v>
      </c>
      <c r="P114" s="1">
        <v>0</v>
      </c>
      <c r="Q114" s="1">
        <v>0</v>
      </c>
      <c r="R114" s="1">
        <f t="shared" si="41"/>
        <v>0</v>
      </c>
      <c r="S114" s="1">
        <v>0</v>
      </c>
      <c r="T114" s="1">
        <v>0</v>
      </c>
      <c r="U114" s="1">
        <f t="shared" si="42"/>
        <v>0</v>
      </c>
      <c r="V114" s="1">
        <f>'[7]System Inventory'!$L$34</f>
        <v>0</v>
      </c>
      <c r="W114" s="1">
        <f>'[7]System Inventory'!$L$36</f>
        <v>0</v>
      </c>
      <c r="X114" s="35">
        <f t="shared" si="43"/>
        <v>0</v>
      </c>
      <c r="Y114" s="37"/>
      <c r="Z114" s="38">
        <f t="shared" si="44"/>
        <v>0</v>
      </c>
      <c r="AA114" s="38">
        <f t="shared" si="45"/>
        <v>0</v>
      </c>
    </row>
    <row r="115" spans="1:27" s="2" customFormat="1" ht="14.1" customHeight="1" x14ac:dyDescent="0.2">
      <c r="A115" s="11">
        <v>16</v>
      </c>
      <c r="B115" s="39"/>
      <c r="C115" s="20"/>
      <c r="D115" s="1" t="s">
        <v>33</v>
      </c>
      <c r="E115" s="8" t="s">
        <v>36</v>
      </c>
      <c r="F115" s="1"/>
      <c r="G115" s="1">
        <f t="shared" si="46"/>
        <v>0</v>
      </c>
      <c r="H115" s="1">
        <f t="shared" si="47"/>
        <v>0</v>
      </c>
      <c r="I115" s="35">
        <f t="shared" si="38"/>
        <v>0</v>
      </c>
      <c r="J115" s="1">
        <f>'[7]System Inventory'!$M$13</f>
        <v>0</v>
      </c>
      <c r="K115" s="1">
        <f>'[7]System Inventory'!$M$15</f>
        <v>0</v>
      </c>
      <c r="L115" s="1">
        <f t="shared" si="39"/>
        <v>0</v>
      </c>
      <c r="M115" s="30">
        <v>0</v>
      </c>
      <c r="N115" s="30">
        <v>0</v>
      </c>
      <c r="O115" s="1">
        <f t="shared" si="40"/>
        <v>0</v>
      </c>
      <c r="P115" s="1">
        <v>0</v>
      </c>
      <c r="Q115" s="1">
        <v>0</v>
      </c>
      <c r="R115" s="1">
        <f t="shared" si="41"/>
        <v>0</v>
      </c>
      <c r="S115" s="1">
        <v>0</v>
      </c>
      <c r="T115" s="1">
        <v>0</v>
      </c>
      <c r="U115" s="1">
        <f t="shared" si="42"/>
        <v>0</v>
      </c>
      <c r="V115" s="1">
        <f>'[7]System Inventory'!$M$34</f>
        <v>0</v>
      </c>
      <c r="W115" s="1">
        <f>'[7]System Inventory'!$M$36</f>
        <v>0</v>
      </c>
      <c r="X115" s="35">
        <f t="shared" si="43"/>
        <v>0</v>
      </c>
      <c r="Y115" s="37"/>
      <c r="Z115" s="38">
        <f t="shared" si="44"/>
        <v>0</v>
      </c>
      <c r="AA115" s="38">
        <f t="shared" si="45"/>
        <v>0</v>
      </c>
    </row>
    <row r="116" spans="1:27" ht="14.1" customHeight="1" thickBot="1" x14ac:dyDescent="0.25">
      <c r="A116" s="11">
        <v>17</v>
      </c>
      <c r="B116" s="68"/>
      <c r="C116" s="58" t="s">
        <v>47</v>
      </c>
      <c r="D116" s="1"/>
      <c r="E116" s="1"/>
      <c r="F116" s="35"/>
      <c r="G116" s="1"/>
      <c r="H116" s="1"/>
      <c r="I116" s="35"/>
      <c r="J116" s="22">
        <f>SUM(J104:J115)</f>
        <v>0</v>
      </c>
      <c r="K116" s="23">
        <f>SUM(K104:K115)</f>
        <v>0</v>
      </c>
      <c r="L116" s="24">
        <v>0</v>
      </c>
      <c r="M116" s="22">
        <f>SUM(M104:M115)</f>
        <v>0</v>
      </c>
      <c r="N116" s="23">
        <f>SUM(N104:N115)</f>
        <v>0</v>
      </c>
      <c r="O116" s="24">
        <v>0</v>
      </c>
      <c r="P116" s="22">
        <f>SUM(P104:P115)</f>
        <v>0</v>
      </c>
      <c r="Q116" s="23">
        <f>SUM(Q104:Q115)</f>
        <v>0</v>
      </c>
      <c r="R116" s="24">
        <v>0</v>
      </c>
      <c r="S116" s="22">
        <f>SUM(S104:S115)</f>
        <v>0</v>
      </c>
      <c r="T116" s="23">
        <f>SUM(T104:T115)</f>
        <v>0</v>
      </c>
      <c r="U116" s="24">
        <v>0</v>
      </c>
      <c r="V116" s="12"/>
      <c r="W116" s="28"/>
      <c r="X116" s="19"/>
    </row>
    <row r="117" spans="1:27" ht="14.1" customHeight="1" thickTop="1" x14ac:dyDescent="0.2">
      <c r="A117" s="11">
        <v>18</v>
      </c>
      <c r="D117" s="1"/>
      <c r="E117" s="1"/>
      <c r="F117" s="35"/>
      <c r="G117" s="1"/>
      <c r="H117" s="12"/>
      <c r="I117" s="59"/>
      <c r="J117" s="12"/>
      <c r="K117" s="12"/>
      <c r="L117" s="59"/>
      <c r="M117" s="12"/>
      <c r="N117" s="12"/>
      <c r="O117" s="59"/>
      <c r="P117" s="12"/>
      <c r="Q117" s="12"/>
      <c r="R117" s="59"/>
      <c r="S117" s="12"/>
      <c r="T117" s="12"/>
      <c r="U117" s="59"/>
      <c r="V117" s="12"/>
      <c r="W117" s="12"/>
      <c r="X117" s="59"/>
    </row>
    <row r="118" spans="1:27" ht="14.1" customHeight="1" thickBot="1" x14ac:dyDescent="0.25">
      <c r="A118" s="11">
        <v>19</v>
      </c>
      <c r="B118" s="68"/>
      <c r="C118" s="58" t="s">
        <v>48</v>
      </c>
      <c r="D118" s="1"/>
      <c r="E118" s="1"/>
      <c r="F118" s="35"/>
      <c r="G118" s="25">
        <f>AVERAGE(G103:G115)</f>
        <v>0</v>
      </c>
      <c r="H118" s="26">
        <f>AVERAGE(H103:H115)</f>
        <v>0</v>
      </c>
      <c r="I118" s="27">
        <f>IFERROR(H118*1000/G118,0)</f>
        <v>0</v>
      </c>
      <c r="J118" s="25">
        <f>AVERAGE(J103:J115)</f>
        <v>0</v>
      </c>
      <c r="K118" s="26">
        <f>AVERAGE(K103:K115)</f>
        <v>0</v>
      </c>
      <c r="L118" s="27">
        <f>IFERROR(K118*1000/J118,0)</f>
        <v>0</v>
      </c>
      <c r="M118" s="25">
        <f>AVERAGE(M103:M115)</f>
        <v>0</v>
      </c>
      <c r="N118" s="26">
        <f>AVERAGE(N103:N115)</f>
        <v>0</v>
      </c>
      <c r="O118" s="27">
        <f>IFERROR(N118*1000/M118,0)</f>
        <v>0</v>
      </c>
      <c r="P118" s="25">
        <f>AVERAGE(P103:P115)</f>
        <v>0</v>
      </c>
      <c r="Q118" s="26">
        <f>AVERAGE(Q103:Q115)</f>
        <v>0</v>
      </c>
      <c r="R118" s="27">
        <f>IFERROR(Q118*1000/P118,0)</f>
        <v>0</v>
      </c>
      <c r="S118" s="25">
        <f>AVERAGE(S103:S115)</f>
        <v>0</v>
      </c>
      <c r="T118" s="26">
        <f>AVERAGE(T103:T115)</f>
        <v>0</v>
      </c>
      <c r="U118" s="27">
        <f>IFERROR(T118*1000/S118,0)</f>
        <v>0</v>
      </c>
      <c r="V118" s="25">
        <f>AVERAGE(V103:V115)</f>
        <v>0</v>
      </c>
      <c r="W118" s="26">
        <f>AVERAGE(W103:W115)</f>
        <v>0</v>
      </c>
      <c r="X118" s="27">
        <f>IFERROR(W118*1000/V118,0)</f>
        <v>0</v>
      </c>
    </row>
    <row r="119" spans="1:27" ht="14.1" customHeight="1" thickTop="1" x14ac:dyDescent="0.2">
      <c r="A119" s="11">
        <v>20</v>
      </c>
      <c r="B119" s="11" t="s">
        <v>49</v>
      </c>
      <c r="C119" s="7" t="s">
        <v>57</v>
      </c>
      <c r="D119" s="1"/>
      <c r="E119" s="1"/>
      <c r="F119" s="35"/>
      <c r="G119" s="1"/>
      <c r="H119" s="1"/>
      <c r="I119" s="35"/>
      <c r="J119" s="1"/>
      <c r="K119" s="1"/>
      <c r="L119" s="35"/>
      <c r="M119" s="1"/>
      <c r="N119" s="1"/>
      <c r="O119" s="35"/>
      <c r="P119" s="1"/>
      <c r="Q119" s="1"/>
      <c r="R119" s="35"/>
      <c r="S119" s="1"/>
      <c r="T119" s="1"/>
      <c r="U119" s="35"/>
      <c r="V119" s="1"/>
      <c r="W119" s="1"/>
      <c r="X119" s="35"/>
    </row>
    <row r="120" spans="1:27" ht="14.1" customHeight="1" x14ac:dyDescent="0.2">
      <c r="A120" s="11">
        <v>21</v>
      </c>
      <c r="C120" s="7" t="s">
        <v>58</v>
      </c>
      <c r="S120" s="11"/>
      <c r="Z120" s="11"/>
      <c r="AA120" s="11"/>
    </row>
    <row r="121" spans="1:27" ht="14.1" customHeight="1" thickBot="1" x14ac:dyDescent="0.25">
      <c r="A121" s="34">
        <v>22</v>
      </c>
      <c r="B121" s="60" t="s">
        <v>59</v>
      </c>
      <c r="C121" s="5"/>
      <c r="D121" s="5"/>
      <c r="E121" s="34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34"/>
      <c r="U121" s="34"/>
      <c r="V121" s="34"/>
      <c r="W121" s="34"/>
      <c r="X121" s="34"/>
    </row>
    <row r="122" spans="1:27" ht="14.1" customHeight="1" x14ac:dyDescent="0.2">
      <c r="A122" s="11" t="s">
        <v>52</v>
      </c>
      <c r="S122" s="4"/>
      <c r="V122" s="11" t="s">
        <v>53</v>
      </c>
    </row>
    <row r="123" spans="1:27" ht="14.1" customHeight="1" thickBot="1" x14ac:dyDescent="0.25">
      <c r="A123" s="34" t="s">
        <v>0</v>
      </c>
      <c r="B123" s="34"/>
      <c r="C123" s="34"/>
      <c r="D123" s="34"/>
      <c r="E123" s="77" t="s">
        <v>1</v>
      </c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34"/>
      <c r="V123" s="34"/>
      <c r="W123" s="34"/>
      <c r="X123" s="34" t="s">
        <v>63</v>
      </c>
    </row>
    <row r="124" spans="1:27" ht="14.1" customHeight="1" x14ac:dyDescent="0.2">
      <c r="A124" s="11" t="s">
        <v>3</v>
      </c>
      <c r="H124" s="11" t="s">
        <v>4</v>
      </c>
      <c r="J124" s="11" t="s">
        <v>5</v>
      </c>
      <c r="K124" s="42"/>
      <c r="L124" s="42"/>
      <c r="N124" s="42"/>
      <c r="O124" s="42"/>
      <c r="T124" s="32"/>
      <c r="U124" s="42" t="s">
        <v>6</v>
      </c>
      <c r="X124" s="32"/>
    </row>
    <row r="125" spans="1:27" ht="14.1" customHeight="1" x14ac:dyDescent="0.2">
      <c r="J125" s="11" t="s">
        <v>7</v>
      </c>
      <c r="K125" s="43"/>
      <c r="L125" s="32"/>
      <c r="O125" s="43"/>
      <c r="T125" s="32"/>
      <c r="U125" s="43" t="s">
        <v>8</v>
      </c>
      <c r="V125" s="32" t="s">
        <v>9</v>
      </c>
      <c r="X125" s="43"/>
    </row>
    <row r="126" spans="1:27" ht="14.1" customHeight="1" x14ac:dyDescent="0.2">
      <c r="A126" s="11" t="s">
        <v>10</v>
      </c>
      <c r="J126" s="11" t="s">
        <v>11</v>
      </c>
      <c r="K126" s="43"/>
      <c r="L126" s="32"/>
      <c r="M126" s="43"/>
      <c r="T126" s="32"/>
      <c r="U126" s="43"/>
      <c r="V126" s="32" t="s">
        <v>12</v>
      </c>
      <c r="X126" s="43"/>
    </row>
    <row r="127" spans="1:27" ht="14.1" customHeight="1" x14ac:dyDescent="0.2">
      <c r="K127" s="43"/>
      <c r="L127" s="32"/>
      <c r="M127" s="43"/>
      <c r="T127" s="32"/>
      <c r="V127" s="32" t="s">
        <v>13</v>
      </c>
      <c r="X127" s="43"/>
    </row>
    <row r="128" spans="1:27" ht="14.1" customHeight="1" thickBot="1" x14ac:dyDescent="0.25">
      <c r="A128" s="34" t="s">
        <v>14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6"/>
      <c r="T128" s="34"/>
      <c r="U128" s="34"/>
      <c r="V128" s="34" t="s">
        <v>79</v>
      </c>
      <c r="W128" s="34"/>
      <c r="X128" s="34"/>
    </row>
    <row r="129" spans="1:27" ht="14.1" customHeight="1" x14ac:dyDescent="0.2"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15"/>
    </row>
    <row r="130" spans="1:27" ht="14.1" customHeight="1" x14ac:dyDescent="0.2"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15"/>
    </row>
    <row r="131" spans="1:27" ht="14.1" customHeight="1" x14ac:dyDescent="0.2">
      <c r="B131" s="40" t="s">
        <v>15</v>
      </c>
      <c r="C131" s="40"/>
      <c r="D131" s="40"/>
      <c r="E131" s="40"/>
      <c r="F131" s="40"/>
      <c r="G131" s="46"/>
      <c r="H131" s="46" t="s">
        <v>16</v>
      </c>
      <c r="I131" s="46"/>
      <c r="J131" s="47"/>
      <c r="K131" s="46" t="s">
        <v>17</v>
      </c>
      <c r="L131" s="47"/>
      <c r="M131" s="47"/>
      <c r="N131" s="47" t="s">
        <v>18</v>
      </c>
      <c r="O131" s="46"/>
      <c r="P131" s="46"/>
      <c r="Q131" s="47" t="s">
        <v>61</v>
      </c>
      <c r="R131" s="46"/>
      <c r="S131" s="16"/>
      <c r="T131" s="47" t="s">
        <v>20</v>
      </c>
      <c r="U131" s="47"/>
      <c r="V131" s="48"/>
      <c r="W131" s="46" t="s">
        <v>64</v>
      </c>
      <c r="X131" s="48"/>
    </row>
    <row r="132" spans="1:27" ht="14.1" customHeight="1" x14ac:dyDescent="0.2">
      <c r="A132" s="11" t="s">
        <v>22</v>
      </c>
      <c r="B132" s="32" t="s">
        <v>23</v>
      </c>
      <c r="C132" s="40"/>
      <c r="D132" s="40" t="s">
        <v>24</v>
      </c>
      <c r="E132" s="40" t="s">
        <v>25</v>
      </c>
      <c r="F132" s="40"/>
      <c r="G132" s="44" t="s">
        <v>26</v>
      </c>
      <c r="H132" s="40" t="s">
        <v>27</v>
      </c>
      <c r="I132" s="40" t="s">
        <v>28</v>
      </c>
      <c r="J132" s="44" t="s">
        <v>26</v>
      </c>
      <c r="K132" s="40" t="s">
        <v>27</v>
      </c>
      <c r="L132" s="40" t="s">
        <v>28</v>
      </c>
      <c r="M132" s="44" t="s">
        <v>26</v>
      </c>
      <c r="N132" s="40" t="s">
        <v>27</v>
      </c>
      <c r="O132" s="40" t="s">
        <v>28</v>
      </c>
      <c r="P132" s="44" t="s">
        <v>26</v>
      </c>
      <c r="Q132" s="40" t="s">
        <v>27</v>
      </c>
      <c r="R132" s="40" t="s">
        <v>28</v>
      </c>
      <c r="S132" s="17" t="s">
        <v>26</v>
      </c>
      <c r="T132" s="40" t="s">
        <v>27</v>
      </c>
      <c r="U132" s="40" t="s">
        <v>28</v>
      </c>
      <c r="V132" s="44" t="s">
        <v>26</v>
      </c>
      <c r="W132" s="40" t="s">
        <v>27</v>
      </c>
      <c r="X132" s="40" t="s">
        <v>28</v>
      </c>
    </row>
    <row r="133" spans="1:27" ht="14.1" customHeight="1" thickBot="1" x14ac:dyDescent="0.25">
      <c r="A133" s="34" t="s">
        <v>29</v>
      </c>
      <c r="B133" s="41"/>
      <c r="C133" s="41"/>
      <c r="D133" s="41"/>
      <c r="E133" s="41"/>
      <c r="F133" s="41"/>
      <c r="G133" s="49"/>
      <c r="H133" s="41"/>
      <c r="I133" s="49"/>
      <c r="J133" s="49"/>
      <c r="K133" s="49"/>
      <c r="L133" s="49"/>
      <c r="M133" s="50"/>
      <c r="N133" s="49"/>
      <c r="O133" s="51"/>
      <c r="P133" s="50"/>
      <c r="Q133" s="49"/>
      <c r="R133" s="49"/>
      <c r="S133" s="18"/>
      <c r="T133" s="34"/>
      <c r="U133" s="34"/>
      <c r="V133" s="34"/>
      <c r="W133" s="34"/>
      <c r="X133" s="34"/>
    </row>
    <row r="134" spans="1:27" ht="14.1" customHeight="1" x14ac:dyDescent="0.2">
      <c r="A134" s="11">
        <v>1</v>
      </c>
      <c r="B134" s="52" t="s">
        <v>65</v>
      </c>
      <c r="S134" s="20"/>
      <c r="W134" s="53"/>
      <c r="X134" s="53"/>
    </row>
    <row r="135" spans="1:27" ht="14.1" customHeight="1" x14ac:dyDescent="0.2">
      <c r="A135" s="11">
        <v>2</v>
      </c>
      <c r="B135" s="11" t="s">
        <v>66</v>
      </c>
      <c r="D135" s="12"/>
      <c r="E135" s="12"/>
      <c r="F135" s="35"/>
      <c r="G135" s="12"/>
      <c r="H135" s="12"/>
      <c r="I135" s="35"/>
      <c r="J135" s="12"/>
      <c r="K135" s="12"/>
      <c r="L135" s="35"/>
      <c r="M135" s="1"/>
      <c r="N135" s="12"/>
      <c r="O135" s="35"/>
      <c r="P135" s="1"/>
      <c r="Q135" s="1"/>
      <c r="R135" s="1"/>
      <c r="S135" s="12"/>
      <c r="T135" s="12"/>
      <c r="U135" s="35"/>
      <c r="V135" s="1"/>
      <c r="W135" s="1"/>
      <c r="X135" s="1"/>
    </row>
    <row r="136" spans="1:27" ht="14.1" customHeight="1" x14ac:dyDescent="0.2">
      <c r="A136" s="11">
        <v>3</v>
      </c>
      <c r="D136" s="12"/>
      <c r="E136" s="12"/>
      <c r="F136" s="35"/>
      <c r="G136" s="12"/>
      <c r="H136" s="12"/>
      <c r="I136" s="35"/>
      <c r="J136" s="12"/>
      <c r="K136" s="12"/>
      <c r="L136" s="35"/>
      <c r="M136" s="1"/>
      <c r="N136" s="12"/>
      <c r="O136" s="35"/>
      <c r="P136" s="1"/>
      <c r="Q136" s="1"/>
      <c r="R136" s="1"/>
      <c r="S136" s="12"/>
      <c r="T136" s="12"/>
      <c r="U136" s="35"/>
      <c r="V136" s="1"/>
      <c r="W136" s="1"/>
      <c r="X136" s="35"/>
      <c r="Z136" s="55" t="s">
        <v>32</v>
      </c>
      <c r="AA136" s="55" t="s">
        <v>32</v>
      </c>
    </row>
    <row r="137" spans="1:27" ht="14.1" customHeight="1" x14ac:dyDescent="0.2">
      <c r="A137" s="11">
        <v>4</v>
      </c>
      <c r="D137" s="69" t="s">
        <v>33</v>
      </c>
      <c r="E137" s="69" t="s">
        <v>34</v>
      </c>
      <c r="F137" s="59"/>
      <c r="G137" s="1">
        <f>'[4]NATURAL GAS INVENTORY'!$L$79</f>
        <v>61922.92198826118</v>
      </c>
      <c r="H137" s="14">
        <f>('[4]NATURAL GAS INVENTORY'!$L$85/1000)</f>
        <v>241.75565757457485</v>
      </c>
      <c r="I137" s="13">
        <f>IFERROR(H137*1000/G137,0)</f>
        <v>3.9041384000000003</v>
      </c>
      <c r="J137" s="12">
        <f>'[4]NATURAL GAS INVENTORY'!$M$45</f>
        <v>1623358</v>
      </c>
      <c r="K137" s="12">
        <f>ROUND('[4]NATURAL GAS INVENTORY'!$M$52/1000,4)</f>
        <v>9852.4370999999992</v>
      </c>
      <c r="L137" s="35">
        <f t="shared" ref="L137" si="48">IFERROR(K137*1000/J137,0)</f>
        <v>6.0691708791283254</v>
      </c>
      <c r="M137" s="12">
        <f>'[4]NATURAL GAS INVENTORY'!$M$59</f>
        <v>1623358</v>
      </c>
      <c r="N137" s="12">
        <f>ROUND('[4]NATURAL GAS INVENTORY'!$M$66/1000,4)</f>
        <v>9824.67</v>
      </c>
      <c r="O137" s="35">
        <f t="shared" ref="O137" si="49">IFERROR(N137*1000/M137,0)</f>
        <v>6.0520661493028651</v>
      </c>
      <c r="P137" s="1">
        <v>0</v>
      </c>
      <c r="Q137" s="1">
        <v>0</v>
      </c>
      <c r="R137" s="35">
        <f t="shared" ref="R137" si="50">IFERROR(Q137*1000/P137,0)</f>
        <v>0</v>
      </c>
      <c r="S137" s="12">
        <v>0</v>
      </c>
      <c r="T137" s="12">
        <v>0</v>
      </c>
      <c r="U137" s="1">
        <f t="shared" ref="U137" si="51">IFERROR(T137*1000/S137,0)</f>
        <v>0</v>
      </c>
      <c r="V137" s="12">
        <f>'[4]NATURAL GAS INVENTORY'!$M$79</f>
        <v>61922.92198826118</v>
      </c>
      <c r="W137" s="12">
        <f>ROUND('[4]NATURAL GAS INVENTORY'!$M$85/1000,4)</f>
        <v>269.52269999999999</v>
      </c>
      <c r="X137" s="35">
        <f t="shared" ref="X137" si="52">IFERROR(W137*1000/V137,0)</f>
        <v>4.3525513872083401</v>
      </c>
      <c r="Z137" s="56">
        <f>+G137+J137-M137-P137+S137-V137</f>
        <v>0</v>
      </c>
      <c r="AA137" s="56">
        <f>+H137+K137-N137-Q137+T137-W137</f>
        <v>5.7574573929741746E-5</v>
      </c>
    </row>
    <row r="138" spans="1:27" s="2" customFormat="1" ht="14.1" customHeight="1" x14ac:dyDescent="0.2">
      <c r="A138" s="11">
        <v>5</v>
      </c>
      <c r="B138" s="36"/>
      <c r="C138" s="20"/>
      <c r="D138" s="12" t="s">
        <v>35</v>
      </c>
      <c r="E138" s="69" t="s">
        <v>36</v>
      </c>
      <c r="F138" s="12"/>
      <c r="G138" s="12">
        <f>+V137</f>
        <v>61922.92198826118</v>
      </c>
      <c r="H138" s="12">
        <f>+W137</f>
        <v>269.52269999999999</v>
      </c>
      <c r="I138" s="35">
        <f t="shared" ref="I138:I149" si="53">IFERROR(H138*1000/G138,0)</f>
        <v>4.3525513872083401</v>
      </c>
      <c r="J138" s="12">
        <f>'[3]NATURAL GAS INVENTORY'!$B$45</f>
        <v>1729491.5666203843</v>
      </c>
      <c r="K138" s="12">
        <f>ROUND('[3]NATURAL GAS INVENTORY'!$B$52/1000,4)</f>
        <v>10554.5208</v>
      </c>
      <c r="L138" s="35">
        <f t="shared" ref="L138:L149" si="54">IFERROR(K138*1000/J138,0)</f>
        <v>6.1026726025757316</v>
      </c>
      <c r="M138" s="12">
        <f>'[3]NATURAL GAS INVENTORY'!$B$59</f>
        <v>1688842</v>
      </c>
      <c r="N138" s="12">
        <f>ROUND('[3]NATURAL GAS INVENTORY'!$B$66/1000,4)</f>
        <v>10442.52</v>
      </c>
      <c r="O138" s="35">
        <f t="shared" ref="O138:O149" si="55">IFERROR(N138*1000/M138,0)</f>
        <v>6.1832427189754871</v>
      </c>
      <c r="P138" s="12">
        <v>0</v>
      </c>
      <c r="Q138" s="12">
        <v>0</v>
      </c>
      <c r="R138" s="35">
        <f t="shared" ref="R138:R149" si="56">IFERROR(Q138*1000/P138,0)</f>
        <v>0</v>
      </c>
      <c r="S138" s="12">
        <v>0</v>
      </c>
      <c r="T138" s="12">
        <v>0</v>
      </c>
      <c r="U138" s="12">
        <f t="shared" ref="U138:U149" si="57">IFERROR(T138*1000/S138,0)</f>
        <v>0</v>
      </c>
      <c r="V138" s="12">
        <f>'[3]NATURAL GAS INVENTORY'!$B$79</f>
        <v>102572.48860864546</v>
      </c>
      <c r="W138" s="12">
        <f>ROUND('[3]NATURAL GAS INVENTORY'!$B$85/1000,4)</f>
        <v>381.52359999999999</v>
      </c>
      <c r="X138" s="35">
        <f t="shared" ref="X138:X149" si="58">IFERROR(W138*1000/V138,0)</f>
        <v>3.7195509748784894</v>
      </c>
      <c r="Y138" s="4"/>
      <c r="Z138" s="70">
        <f>+G138+J138-M138-P138+S138-V138</f>
        <v>0</v>
      </c>
      <c r="AA138" s="70">
        <f t="shared" ref="AA138:AA148" si="59">+H138+K138-N138-Q138+T138-W138</f>
        <v>-1.0000000065701897E-4</v>
      </c>
    </row>
    <row r="139" spans="1:27" s="2" customFormat="1" ht="14.1" customHeight="1" x14ac:dyDescent="0.2">
      <c r="A139" s="11">
        <v>6</v>
      </c>
      <c r="B139" s="20"/>
      <c r="C139" s="20"/>
      <c r="D139" s="69" t="s">
        <v>37</v>
      </c>
      <c r="E139" s="69" t="s">
        <v>36</v>
      </c>
      <c r="F139" s="12"/>
      <c r="G139" s="12">
        <f t="shared" ref="G139:G149" si="60">+V138</f>
        <v>102572.48860864546</v>
      </c>
      <c r="H139" s="12">
        <f t="shared" ref="H139:H149" si="61">+W138</f>
        <v>381.52359999999999</v>
      </c>
      <c r="I139" s="35">
        <f t="shared" si="53"/>
        <v>3.7195509748784894</v>
      </c>
      <c r="J139" s="12">
        <f>'[3]NATURAL GAS INVENTORY'!$C$45</f>
        <v>2058573</v>
      </c>
      <c r="K139" s="12">
        <f>ROUND('[3]NATURAL GAS INVENTORY'!$C$52/1000,4)</f>
        <v>12562.588299999999</v>
      </c>
      <c r="L139" s="35">
        <f t="shared" si="54"/>
        <v>6.1025711985924227</v>
      </c>
      <c r="M139" s="12">
        <f>'[3]NATURAL GAS INVENTORY'!$C$59</f>
        <v>2058573</v>
      </c>
      <c r="N139" s="12">
        <f>ROUND('[3]NATURAL GAS INVENTORY'!$C$66/1000,4)</f>
        <v>12570.871999999999</v>
      </c>
      <c r="O139" s="35">
        <f t="shared" si="55"/>
        <v>6.1065951996844419</v>
      </c>
      <c r="P139" s="12">
        <v>0</v>
      </c>
      <c r="Q139" s="12">
        <v>0</v>
      </c>
      <c r="R139" s="35">
        <f t="shared" si="56"/>
        <v>0</v>
      </c>
      <c r="S139" s="12">
        <v>0</v>
      </c>
      <c r="T139" s="12">
        <v>0</v>
      </c>
      <c r="U139" s="12">
        <f t="shared" si="57"/>
        <v>0</v>
      </c>
      <c r="V139" s="12">
        <f>'[3]NATURAL GAS INVENTORY'!$C$79</f>
        <v>102572.48860864546</v>
      </c>
      <c r="W139" s="12">
        <f>ROUND('[3]NATURAL GAS INVENTORY'!$C$85/1000,4)</f>
        <v>373.23989999999998</v>
      </c>
      <c r="X139" s="35">
        <f t="shared" si="58"/>
        <v>3.6387915030906339</v>
      </c>
      <c r="Y139" s="4"/>
      <c r="Z139" s="70">
        <f>+G139+J139-M139-P139+S139-V139</f>
        <v>-1.8917489796876907E-10</v>
      </c>
      <c r="AA139" s="70">
        <f t="shared" si="59"/>
        <v>5.1159076974727213E-13</v>
      </c>
    </row>
    <row r="140" spans="1:27" s="2" customFormat="1" ht="14.1" customHeight="1" x14ac:dyDescent="0.2">
      <c r="A140" s="11">
        <v>7</v>
      </c>
      <c r="B140" s="20"/>
      <c r="C140" s="20"/>
      <c r="D140" s="12" t="s">
        <v>38</v>
      </c>
      <c r="E140" s="69" t="s">
        <v>36</v>
      </c>
      <c r="F140" s="12"/>
      <c r="G140" s="12">
        <f t="shared" si="60"/>
        <v>102572.48860864546</v>
      </c>
      <c r="H140" s="12">
        <f t="shared" si="61"/>
        <v>373.23989999999998</v>
      </c>
      <c r="I140" s="35">
        <f t="shared" si="53"/>
        <v>3.6387915030906339</v>
      </c>
      <c r="J140" s="12">
        <f>'[3]NATURAL GAS INVENTORY'!$D$45</f>
        <v>3715901</v>
      </c>
      <c r="K140" s="12">
        <f>ROUND('[3]NATURAL GAS INVENTORY'!$D$52/1000,4)</f>
        <v>21084.5301</v>
      </c>
      <c r="L140" s="35">
        <f t="shared" si="54"/>
        <v>5.6741366629520007</v>
      </c>
      <c r="M140" s="12">
        <f>'[3]NATURAL GAS INVENTORY'!$D$59</f>
        <v>3715901</v>
      </c>
      <c r="N140" s="12">
        <f>ROUND('[3]NATURAL GAS INVENTORY'!$D$66/1000,4)</f>
        <v>21116.484</v>
      </c>
      <c r="O140" s="35">
        <f t="shared" si="55"/>
        <v>5.682735896354612</v>
      </c>
      <c r="P140" s="12">
        <v>0</v>
      </c>
      <c r="Q140" s="12">
        <v>0</v>
      </c>
      <c r="R140" s="35">
        <f t="shared" si="56"/>
        <v>0</v>
      </c>
      <c r="S140" s="12">
        <v>0</v>
      </c>
      <c r="T140" s="12">
        <v>0</v>
      </c>
      <c r="U140" s="12">
        <f t="shared" si="57"/>
        <v>0</v>
      </c>
      <c r="V140" s="12">
        <f>'[3]NATURAL GAS INVENTORY'!$D$79</f>
        <v>102572.48860864546</v>
      </c>
      <c r="W140" s="12">
        <f>ROUND('[3]NATURAL GAS INVENTORY'!$D$85/1000,4)</f>
        <v>341.28590000000003</v>
      </c>
      <c r="X140" s="35">
        <f t="shared" si="58"/>
        <v>3.327265474684352</v>
      </c>
      <c r="Y140" s="4"/>
      <c r="Z140" s="70">
        <f t="shared" ref="Z140:Z149" si="62">+G140+J140-M140-P140+S140-V140</f>
        <v>-1.8917489796876907E-10</v>
      </c>
      <c r="AA140" s="70">
        <f t="shared" si="59"/>
        <v>1.0000000003174137E-4</v>
      </c>
    </row>
    <row r="141" spans="1:27" s="2" customFormat="1" ht="14.1" customHeight="1" x14ac:dyDescent="0.2">
      <c r="A141" s="11">
        <v>8</v>
      </c>
      <c r="B141" s="20"/>
      <c r="C141" s="20"/>
      <c r="D141" s="69" t="s">
        <v>39</v>
      </c>
      <c r="E141" s="69" t="s">
        <v>36</v>
      </c>
      <c r="F141" s="12"/>
      <c r="G141" s="12">
        <f t="shared" si="60"/>
        <v>102572.48860864546</v>
      </c>
      <c r="H141" s="12">
        <f t="shared" si="61"/>
        <v>341.28590000000003</v>
      </c>
      <c r="I141" s="35">
        <f t="shared" si="53"/>
        <v>3.327265474684352</v>
      </c>
      <c r="J141" s="12">
        <f>'[3]NATURAL GAS INVENTORY'!$E$45</f>
        <v>4586577</v>
      </c>
      <c r="K141" s="12">
        <f>ROUND('[3]NATURAL GAS INVENTORY'!$E$52/1000,4)</f>
        <v>24768.9247</v>
      </c>
      <c r="L141" s="35">
        <f t="shared" si="54"/>
        <v>5.4003071789702863</v>
      </c>
      <c r="M141" s="12">
        <f>'[3]NATURAL GAS INVENTORY'!$E$59</f>
        <v>4586577</v>
      </c>
      <c r="N141" s="12">
        <f>ROUND('[3]NATURAL GAS INVENTORY'!$E$66/1000,4)</f>
        <v>24806.716</v>
      </c>
      <c r="O141" s="35">
        <f t="shared" si="55"/>
        <v>5.40854672231601</v>
      </c>
      <c r="P141" s="12">
        <v>0</v>
      </c>
      <c r="Q141" s="12">
        <v>0</v>
      </c>
      <c r="R141" s="35">
        <f t="shared" si="56"/>
        <v>0</v>
      </c>
      <c r="S141" s="12">
        <v>0</v>
      </c>
      <c r="T141" s="12">
        <v>0</v>
      </c>
      <c r="U141" s="12">
        <f t="shared" si="57"/>
        <v>0</v>
      </c>
      <c r="V141" s="12">
        <f>'[3]NATURAL GAS INVENTORY'!$E$79</f>
        <v>102572.48860864546</v>
      </c>
      <c r="W141" s="12">
        <f>ROUND('[3]NATURAL GAS INVENTORY'!$E$85/1000,4)</f>
        <v>303.49459999999999</v>
      </c>
      <c r="X141" s="35">
        <f t="shared" si="58"/>
        <v>2.9588304243835957</v>
      </c>
      <c r="Y141" s="4"/>
      <c r="Z141" s="70">
        <f t="shared" si="62"/>
        <v>-1.8917489796876907E-10</v>
      </c>
      <c r="AA141" s="70">
        <f t="shared" si="59"/>
        <v>-1.8189894035458565E-12</v>
      </c>
    </row>
    <row r="142" spans="1:27" s="2" customFormat="1" ht="14.1" customHeight="1" x14ac:dyDescent="0.2">
      <c r="A142" s="11">
        <v>9</v>
      </c>
      <c r="B142" s="20"/>
      <c r="C142" s="20"/>
      <c r="D142" s="12" t="s">
        <v>40</v>
      </c>
      <c r="E142" s="69" t="s">
        <v>36</v>
      </c>
      <c r="F142" s="12"/>
      <c r="G142" s="12">
        <f t="shared" si="60"/>
        <v>102572.48860864546</v>
      </c>
      <c r="H142" s="12">
        <f t="shared" si="61"/>
        <v>303.49459999999999</v>
      </c>
      <c r="I142" s="35">
        <f t="shared" si="53"/>
        <v>2.9588304243835957</v>
      </c>
      <c r="J142" s="12">
        <f>'[3]NATURAL GAS INVENTORY'!$F$45</f>
        <v>3713020</v>
      </c>
      <c r="K142" s="12">
        <f>ROUND('[3]NATURAL GAS INVENTORY'!$F$52/1000,4)</f>
        <v>19512.742900000001</v>
      </c>
      <c r="L142" s="35">
        <f t="shared" si="54"/>
        <v>5.2552215985909054</v>
      </c>
      <c r="M142" s="12">
        <f>'[3]NATURAL GAS INVENTORY'!$F$59</f>
        <v>3713020</v>
      </c>
      <c r="N142" s="12">
        <f>ROUND('[3]NATURAL GAS INVENTORY'!$F$66/1000,4)</f>
        <v>19515.088</v>
      </c>
      <c r="O142" s="35">
        <f t="shared" si="55"/>
        <v>5.2558531868936873</v>
      </c>
      <c r="P142" s="12">
        <v>0</v>
      </c>
      <c r="Q142" s="12">
        <v>0</v>
      </c>
      <c r="R142" s="35">
        <f t="shared" si="56"/>
        <v>0</v>
      </c>
      <c r="S142" s="12">
        <v>0</v>
      </c>
      <c r="T142" s="12">
        <v>0</v>
      </c>
      <c r="U142" s="12">
        <f t="shared" si="57"/>
        <v>0</v>
      </c>
      <c r="V142" s="12">
        <f>'[3]NATURAL GAS INVENTORY'!$F$79</f>
        <v>102572.48860864546</v>
      </c>
      <c r="W142" s="12">
        <f>ROUND('[3]NATURAL GAS INVENTORY'!$F$85/1000,4)</f>
        <v>301.14949999999999</v>
      </c>
      <c r="X142" s="35">
        <f t="shared" si="58"/>
        <v>2.9359675687406224</v>
      </c>
      <c r="Y142" s="4"/>
      <c r="Z142" s="70">
        <f t="shared" si="62"/>
        <v>-1.8917489796876907E-10</v>
      </c>
      <c r="AA142" s="70">
        <f t="shared" si="59"/>
        <v>3.1832314562052488E-12</v>
      </c>
    </row>
    <row r="143" spans="1:27" s="2" customFormat="1" ht="14.1" customHeight="1" x14ac:dyDescent="0.2">
      <c r="A143" s="11">
        <v>10</v>
      </c>
      <c r="B143" s="20"/>
      <c r="C143" s="20"/>
      <c r="D143" s="69" t="s">
        <v>41</v>
      </c>
      <c r="E143" s="69" t="s">
        <v>36</v>
      </c>
      <c r="F143" s="12"/>
      <c r="G143" s="12">
        <f t="shared" si="60"/>
        <v>102572.48860864546</v>
      </c>
      <c r="H143" s="12">
        <f t="shared" si="61"/>
        <v>301.14949999999999</v>
      </c>
      <c r="I143" s="35">
        <f t="shared" si="53"/>
        <v>2.9359675687406224</v>
      </c>
      <c r="J143" s="12">
        <f>'[3]NATURAL GAS INVENTORY'!$G$45</f>
        <v>4240410</v>
      </c>
      <c r="K143" s="12">
        <f>ROUND('[3]NATURAL GAS INVENTORY'!$G$52/1000,4)</f>
        <v>22102.892500000002</v>
      </c>
      <c r="L143" s="35">
        <f t="shared" si="54"/>
        <v>5.2124423110029454</v>
      </c>
      <c r="M143" s="12">
        <f>'[3]NATURAL GAS INVENTORY'!$G$59</f>
        <v>4240410</v>
      </c>
      <c r="N143" s="12">
        <f>ROUND('[3]NATURAL GAS INVENTORY'!$G$66/1000,4)</f>
        <v>22093.006000000001</v>
      </c>
      <c r="O143" s="35">
        <f t="shared" si="55"/>
        <v>5.2101108147561206</v>
      </c>
      <c r="P143" s="12">
        <v>0</v>
      </c>
      <c r="Q143" s="12">
        <v>0</v>
      </c>
      <c r="R143" s="35">
        <f t="shared" si="56"/>
        <v>0</v>
      </c>
      <c r="S143" s="12">
        <v>0</v>
      </c>
      <c r="T143" s="12">
        <v>0</v>
      </c>
      <c r="U143" s="12">
        <f t="shared" si="57"/>
        <v>0</v>
      </c>
      <c r="V143" s="12">
        <f>'[3]NATURAL GAS INVENTORY'!$G$79</f>
        <v>102572.48860864546</v>
      </c>
      <c r="W143" s="12">
        <f>ROUND('[3]NATURAL GAS INVENTORY'!$G$85/1000,4)</f>
        <v>311.036</v>
      </c>
      <c r="X143" s="35">
        <f t="shared" si="58"/>
        <v>3.0323530628834123</v>
      </c>
      <c r="Y143" s="4"/>
      <c r="Z143" s="70">
        <f t="shared" si="62"/>
        <v>-1.8917489796876907E-10</v>
      </c>
      <c r="AA143" s="70">
        <f t="shared" si="59"/>
        <v>0</v>
      </c>
    </row>
    <row r="144" spans="1:27" s="2" customFormat="1" ht="14.1" customHeight="1" x14ac:dyDescent="0.2">
      <c r="A144" s="11">
        <v>11</v>
      </c>
      <c r="B144" s="36"/>
      <c r="C144" s="20"/>
      <c r="D144" s="12" t="s">
        <v>42</v>
      </c>
      <c r="E144" s="69" t="s">
        <v>36</v>
      </c>
      <c r="F144" s="12"/>
      <c r="G144" s="12">
        <f t="shared" si="60"/>
        <v>102572.48860864546</v>
      </c>
      <c r="H144" s="12">
        <f t="shared" si="61"/>
        <v>311.036</v>
      </c>
      <c r="I144" s="35">
        <f t="shared" si="53"/>
        <v>3.0323530628834123</v>
      </c>
      <c r="J144" s="12">
        <f>'[3]NATURAL GAS INVENTORY'!$H$45</f>
        <v>4523696</v>
      </c>
      <c r="K144" s="12">
        <f>ROUND('[3]NATURAL GAS INVENTORY'!$H$52/1000,4)</f>
        <v>24182.188600000001</v>
      </c>
      <c r="L144" s="35">
        <f t="shared" si="54"/>
        <v>5.3456705755647596</v>
      </c>
      <c r="M144" s="12">
        <f>'[3]NATURAL GAS INVENTORY'!$H$59</f>
        <v>4523696</v>
      </c>
      <c r="N144" s="12">
        <f>ROUND('[3]NATURAL GAS INVENTORY'!$H$66/1000,4)</f>
        <v>24172.454000000002</v>
      </c>
      <c r="O144" s="35">
        <f t="shared" si="55"/>
        <v>5.3435186626157014</v>
      </c>
      <c r="P144" s="12">
        <v>0</v>
      </c>
      <c r="Q144" s="12">
        <v>0</v>
      </c>
      <c r="R144" s="35">
        <f t="shared" si="56"/>
        <v>0</v>
      </c>
      <c r="S144" s="12">
        <v>0</v>
      </c>
      <c r="T144" s="12">
        <v>0</v>
      </c>
      <c r="U144" s="12">
        <f t="shared" si="57"/>
        <v>0</v>
      </c>
      <c r="V144" s="12">
        <f>'[3]NATURAL GAS INVENTORY'!$H$79</f>
        <v>102572.48860864546</v>
      </c>
      <c r="W144" s="12">
        <f>ROUND('[3]NATURAL GAS INVENTORY'!$H$85/1000,4)</f>
        <v>320.77069999999998</v>
      </c>
      <c r="X144" s="35">
        <f t="shared" si="58"/>
        <v>3.1272586280310191</v>
      </c>
      <c r="Y144" s="4"/>
      <c r="Z144" s="70">
        <f t="shared" si="62"/>
        <v>-1.8917489796876907E-10</v>
      </c>
      <c r="AA144" s="70">
        <f t="shared" si="59"/>
        <v>-1.000000001454282E-4</v>
      </c>
    </row>
    <row r="145" spans="1:27" s="2" customFormat="1" ht="14.1" customHeight="1" x14ac:dyDescent="0.2">
      <c r="A145" s="11">
        <v>12</v>
      </c>
      <c r="B145" s="20"/>
      <c r="C145" s="20"/>
      <c r="D145" s="69" t="s">
        <v>43</v>
      </c>
      <c r="E145" s="69" t="s">
        <v>36</v>
      </c>
      <c r="F145" s="12"/>
      <c r="G145" s="12">
        <f t="shared" si="60"/>
        <v>102572.48860864546</v>
      </c>
      <c r="H145" s="12">
        <f t="shared" si="61"/>
        <v>320.77069999999998</v>
      </c>
      <c r="I145" s="35">
        <f t="shared" si="53"/>
        <v>3.1272586280310191</v>
      </c>
      <c r="J145" s="12">
        <f>'[3]NATURAL GAS INVENTORY'!$I$45</f>
        <v>4676700</v>
      </c>
      <c r="K145" s="12">
        <f>ROUND('[3]NATURAL GAS INVENTORY'!$I$52/1000,4)</f>
        <v>24983.3999</v>
      </c>
      <c r="L145" s="35">
        <f t="shared" si="54"/>
        <v>5.3421001774755696</v>
      </c>
      <c r="M145" s="12">
        <f>'[3]NATURAL GAS INVENTORY'!$I$59</f>
        <v>4676700</v>
      </c>
      <c r="N145" s="12">
        <f>ROUND('[3]NATURAL GAS INVENTORY'!$I$66/1000,4)</f>
        <v>24980.38</v>
      </c>
      <c r="O145" s="35">
        <f t="shared" si="55"/>
        <v>5.3414544443731691</v>
      </c>
      <c r="P145" s="12">
        <v>0</v>
      </c>
      <c r="Q145" s="12">
        <v>0</v>
      </c>
      <c r="R145" s="35">
        <f t="shared" si="56"/>
        <v>0</v>
      </c>
      <c r="S145" s="12">
        <v>0</v>
      </c>
      <c r="T145" s="12">
        <v>0</v>
      </c>
      <c r="U145" s="12">
        <f t="shared" si="57"/>
        <v>0</v>
      </c>
      <c r="V145" s="12">
        <f>'[3]NATURAL GAS INVENTORY'!$I$79</f>
        <v>102572.48860864546</v>
      </c>
      <c r="W145" s="12">
        <f>ROUND('[3]NATURAL GAS INVENTORY'!$I$85/1000,4)</f>
        <v>323.79059999999998</v>
      </c>
      <c r="X145" s="35">
        <f t="shared" si="58"/>
        <v>3.1567002457685214</v>
      </c>
      <c r="Y145" s="4"/>
      <c r="Z145" s="70">
        <f t="shared" si="62"/>
        <v>-1.8917489796876907E-10</v>
      </c>
      <c r="AA145" s="70">
        <f t="shared" si="59"/>
        <v>0</v>
      </c>
    </row>
    <row r="146" spans="1:27" s="2" customFormat="1" ht="14.1" customHeight="1" x14ac:dyDescent="0.2">
      <c r="A146" s="11">
        <v>13</v>
      </c>
      <c r="B146" s="20"/>
      <c r="C146" s="20"/>
      <c r="D146" s="12" t="s">
        <v>44</v>
      </c>
      <c r="E146" s="69" t="s">
        <v>36</v>
      </c>
      <c r="F146" s="12"/>
      <c r="G146" s="12">
        <f t="shared" si="60"/>
        <v>102572.48860864546</v>
      </c>
      <c r="H146" s="12">
        <f t="shared" si="61"/>
        <v>323.79059999999998</v>
      </c>
      <c r="I146" s="35">
        <f t="shared" si="53"/>
        <v>3.1567002457685214</v>
      </c>
      <c r="J146" s="12">
        <f>'[3]NATURAL GAS INVENTORY'!$J$45</f>
        <v>4333041</v>
      </c>
      <c r="K146" s="12">
        <f>ROUND('[3]NATURAL GAS INVENTORY'!$J$52/1000,4)</f>
        <v>23134.506600000001</v>
      </c>
      <c r="L146" s="35">
        <f t="shared" si="54"/>
        <v>5.3390924757000917</v>
      </c>
      <c r="M146" s="12">
        <f>'[3]NATURAL GAS INVENTORY'!$J$59</f>
        <v>4333041</v>
      </c>
      <c r="N146" s="12">
        <f>ROUND('[3]NATURAL GAS INVENTORY'!$J$66/1000,4)</f>
        <v>23138.116999999998</v>
      </c>
      <c r="O146" s="35">
        <f t="shared" si="55"/>
        <v>5.3399257011415306</v>
      </c>
      <c r="P146" s="12">
        <v>0</v>
      </c>
      <c r="Q146" s="12">
        <v>0</v>
      </c>
      <c r="R146" s="35">
        <f t="shared" si="56"/>
        <v>0</v>
      </c>
      <c r="S146" s="12">
        <v>0</v>
      </c>
      <c r="T146" s="12">
        <v>0</v>
      </c>
      <c r="U146" s="12">
        <f t="shared" si="57"/>
        <v>0</v>
      </c>
      <c r="V146" s="12">
        <f>'[3]NATURAL GAS INVENTORY'!$J$79</f>
        <v>102572.48860864546</v>
      </c>
      <c r="W146" s="12">
        <f>ROUND('[3]NATURAL GAS INVENTORY'!$J$85/1000,4)</f>
        <v>320.18020000000001</v>
      </c>
      <c r="X146" s="35">
        <f t="shared" si="58"/>
        <v>3.1215017237381639</v>
      </c>
      <c r="Y146" s="4"/>
      <c r="Z146" s="70">
        <f t="shared" si="62"/>
        <v>-1.8917489796876907E-10</v>
      </c>
      <c r="AA146" s="70">
        <f t="shared" si="59"/>
        <v>2.5011104298755527E-12</v>
      </c>
    </row>
    <row r="147" spans="1:27" s="2" customFormat="1" ht="14.1" customHeight="1" x14ac:dyDescent="0.2">
      <c r="A147" s="11">
        <v>14</v>
      </c>
      <c r="B147" s="20"/>
      <c r="C147" s="20"/>
      <c r="D147" s="69" t="s">
        <v>45</v>
      </c>
      <c r="E147" s="69" t="s">
        <v>36</v>
      </c>
      <c r="F147" s="12"/>
      <c r="G147" s="12">
        <f t="shared" si="60"/>
        <v>102572.48860864546</v>
      </c>
      <c r="H147" s="12">
        <f t="shared" si="61"/>
        <v>320.18020000000001</v>
      </c>
      <c r="I147" s="35">
        <f t="shared" si="53"/>
        <v>3.1215017237381639</v>
      </c>
      <c r="J147" s="12">
        <f>'[3]NATURAL GAS INVENTORY'!$K$45</f>
        <v>4397003</v>
      </c>
      <c r="K147" s="12">
        <f>ROUND('[3]NATURAL GAS INVENTORY'!$K$52/1000,4)</f>
        <v>24123.5065</v>
      </c>
      <c r="L147" s="35">
        <f t="shared" si="54"/>
        <v>5.4863520675332724</v>
      </c>
      <c r="M147" s="12">
        <f>'[3]NATURAL GAS INVENTORY'!$K$59</f>
        <v>4397003</v>
      </c>
      <c r="N147" s="12">
        <f>ROUND('[3]NATURAL GAS INVENTORY'!$K$66/1000,4)</f>
        <v>24117.686000000002</v>
      </c>
      <c r="O147" s="35">
        <f t="shared" si="55"/>
        <v>5.4850283249749889</v>
      </c>
      <c r="P147" s="12">
        <v>0</v>
      </c>
      <c r="Q147" s="12">
        <v>0</v>
      </c>
      <c r="R147" s="35">
        <f t="shared" si="56"/>
        <v>0</v>
      </c>
      <c r="S147" s="12">
        <v>0</v>
      </c>
      <c r="T147" s="12">
        <v>0</v>
      </c>
      <c r="U147" s="12">
        <f t="shared" si="57"/>
        <v>0</v>
      </c>
      <c r="V147" s="12">
        <f>'[3]NATURAL GAS INVENTORY'!$K$79</f>
        <v>102572.48860864546</v>
      </c>
      <c r="W147" s="12">
        <f>ROUND('[3]NATURAL GAS INVENTORY'!$K$85/1000,4)</f>
        <v>326.00069999999999</v>
      </c>
      <c r="X147" s="35">
        <f t="shared" si="58"/>
        <v>3.1782469590244746</v>
      </c>
      <c r="Y147" s="4"/>
      <c r="Z147" s="70">
        <f t="shared" si="62"/>
        <v>-1.8917489796876907E-10</v>
      </c>
      <c r="AA147" s="70">
        <f t="shared" si="59"/>
        <v>-3.1263880373444408E-12</v>
      </c>
    </row>
    <row r="148" spans="1:27" s="2" customFormat="1" ht="14.1" customHeight="1" x14ac:dyDescent="0.2">
      <c r="A148" s="11">
        <v>15</v>
      </c>
      <c r="B148" s="20"/>
      <c r="C148" s="20"/>
      <c r="D148" s="12" t="s">
        <v>46</v>
      </c>
      <c r="E148" s="69" t="s">
        <v>36</v>
      </c>
      <c r="F148" s="12"/>
      <c r="G148" s="12">
        <f t="shared" si="60"/>
        <v>102572.48860864546</v>
      </c>
      <c r="H148" s="12">
        <f t="shared" si="61"/>
        <v>326.00069999999999</v>
      </c>
      <c r="I148" s="35">
        <f t="shared" si="53"/>
        <v>3.1782469590244746</v>
      </c>
      <c r="J148" s="12">
        <f>'[3]NATURAL GAS INVENTORY'!$L$45</f>
        <v>2716471</v>
      </c>
      <c r="K148" s="12">
        <f>ROUND('[3]NATURAL GAS INVENTORY'!$L$52/1000,4)</f>
        <v>15490.2613</v>
      </c>
      <c r="L148" s="35">
        <f t="shared" si="54"/>
        <v>5.702347383793164</v>
      </c>
      <c r="M148" s="12">
        <f>'[3]NATURAL GAS INVENTORY'!$L$59</f>
        <v>2716471</v>
      </c>
      <c r="N148" s="12">
        <f>ROUND('[3]NATURAL GAS INVENTORY'!$L$66/1000,4)</f>
        <v>15463.858</v>
      </c>
      <c r="O148" s="35">
        <f t="shared" si="55"/>
        <v>5.6926276776008287</v>
      </c>
      <c r="P148" s="12">
        <v>0</v>
      </c>
      <c r="Q148" s="12">
        <v>0</v>
      </c>
      <c r="R148" s="35">
        <f t="shared" si="56"/>
        <v>0</v>
      </c>
      <c r="S148" s="12">
        <v>0</v>
      </c>
      <c r="T148" s="12">
        <v>0</v>
      </c>
      <c r="U148" s="12">
        <f t="shared" si="57"/>
        <v>0</v>
      </c>
      <c r="V148" s="12">
        <f>'[3]NATURAL GAS INVENTORY'!$L$79</f>
        <v>102572.48860864546</v>
      </c>
      <c r="W148" s="12">
        <f>ROUND('[3]NATURAL GAS INVENTORY'!$L$85/1000,4)</f>
        <v>352.404</v>
      </c>
      <c r="X148" s="35">
        <f t="shared" si="58"/>
        <v>3.4356580870779139</v>
      </c>
      <c r="Y148" s="4"/>
      <c r="Z148" s="70">
        <f t="shared" si="62"/>
        <v>-1.8917489796876907E-10</v>
      </c>
      <c r="AA148" s="70">
        <f t="shared" si="59"/>
        <v>4.5474735088646412E-13</v>
      </c>
    </row>
    <row r="149" spans="1:27" s="2" customFormat="1" ht="14.1" customHeight="1" x14ac:dyDescent="0.2">
      <c r="A149" s="11">
        <v>16</v>
      </c>
      <c r="B149" s="20"/>
      <c r="C149" s="20"/>
      <c r="D149" s="8" t="s">
        <v>33</v>
      </c>
      <c r="E149" s="69" t="s">
        <v>36</v>
      </c>
      <c r="F149" s="1"/>
      <c r="G149" s="1">
        <f t="shared" si="60"/>
        <v>102572.48860864546</v>
      </c>
      <c r="H149" s="1">
        <f t="shared" si="61"/>
        <v>352.404</v>
      </c>
      <c r="I149" s="35">
        <f t="shared" si="53"/>
        <v>3.4356580870779139</v>
      </c>
      <c r="J149" s="12">
        <f>'[3]NATURAL GAS INVENTORY'!$M$45</f>
        <v>1722794</v>
      </c>
      <c r="K149" s="12">
        <f>ROUND('[3]NATURAL GAS INVENTORY'!$M$52/1000,4)</f>
        <v>10683.6603</v>
      </c>
      <c r="L149" s="35">
        <f t="shared" si="54"/>
        <v>6.201356807604391</v>
      </c>
      <c r="M149" s="12">
        <f>'[3]NATURAL GAS INVENTORY'!$M$59</f>
        <v>1722794</v>
      </c>
      <c r="N149" s="12">
        <f>ROUND('[3]NATURAL GAS INVENTORY'!$M$66/1000,4)</f>
        <v>10653.849</v>
      </c>
      <c r="O149" s="35">
        <f t="shared" si="55"/>
        <v>6.1840527654496125</v>
      </c>
      <c r="P149" s="1">
        <v>0</v>
      </c>
      <c r="Q149" s="1">
        <v>0</v>
      </c>
      <c r="R149" s="35">
        <f t="shared" si="56"/>
        <v>0</v>
      </c>
      <c r="S149" s="12">
        <v>0</v>
      </c>
      <c r="T149" s="12">
        <v>0</v>
      </c>
      <c r="U149" s="1">
        <f t="shared" si="57"/>
        <v>0</v>
      </c>
      <c r="V149" s="12">
        <f>'[3]NATURAL GAS INVENTORY'!$M$79</f>
        <v>102572.48860864546</v>
      </c>
      <c r="W149" s="12">
        <f>ROUND('[3]NATURAL GAS INVENTORY'!$M$85/1000,4)</f>
        <v>382.21530000000001</v>
      </c>
      <c r="X149" s="35">
        <f t="shared" si="58"/>
        <v>3.726294498501467</v>
      </c>
      <c r="Z149" s="38">
        <f t="shared" si="62"/>
        <v>0</v>
      </c>
      <c r="AA149" s="38">
        <f>+H149+K149-N149-Q149+T149-W149</f>
        <v>0</v>
      </c>
    </row>
    <row r="150" spans="1:27" ht="14.1" customHeight="1" thickBot="1" x14ac:dyDescent="0.25">
      <c r="A150" s="11">
        <v>17</v>
      </c>
      <c r="C150" s="58" t="s">
        <v>47</v>
      </c>
      <c r="D150" s="1"/>
      <c r="E150" s="1"/>
      <c r="F150" s="35"/>
      <c r="G150" s="1"/>
      <c r="H150" s="1"/>
      <c r="I150" s="35"/>
      <c r="J150" s="22">
        <f>SUM(J138:J149)</f>
        <v>42413677.56662038</v>
      </c>
      <c r="K150" s="23">
        <f>SUM(K138:K149)</f>
        <v>233183.72249999997</v>
      </c>
      <c r="L150" s="24">
        <f>IF(K150&gt;0,ROUND((K150*1000)/J150,2),4)</f>
        <v>5.5</v>
      </c>
      <c r="M150" s="22">
        <f>SUM(M138:M149)</f>
        <v>42373028</v>
      </c>
      <c r="N150" s="23">
        <f>SUM(N138:N149)</f>
        <v>233071.03000000003</v>
      </c>
      <c r="O150" s="24">
        <f>IF(N150&gt;0,ROUND((N150*1000)/M150,2),4)</f>
        <v>5.5</v>
      </c>
      <c r="P150" s="22">
        <f>SUM(P138:P149)</f>
        <v>0</v>
      </c>
      <c r="Q150" s="23">
        <f>SUM(Q138:Q149)</f>
        <v>0</v>
      </c>
      <c r="R150" s="24">
        <v>0</v>
      </c>
      <c r="S150" s="22">
        <f>SUM(S137:S149)</f>
        <v>0</v>
      </c>
      <c r="T150" s="23">
        <f>SUM(T137:T149)</f>
        <v>0</v>
      </c>
      <c r="U150" s="24">
        <v>0</v>
      </c>
      <c r="V150" s="12"/>
      <c r="W150" s="28"/>
      <c r="X150" s="19"/>
    </row>
    <row r="151" spans="1:27" ht="14.1" customHeight="1" thickTop="1" x14ac:dyDescent="0.2">
      <c r="A151" s="11">
        <v>18</v>
      </c>
      <c r="D151" s="1"/>
      <c r="E151" s="1"/>
      <c r="F151" s="35"/>
      <c r="G151" s="1"/>
      <c r="H151" s="12"/>
      <c r="I151" s="59"/>
      <c r="J151" s="12"/>
      <c r="K151" s="12"/>
      <c r="L151" s="59"/>
      <c r="M151" s="12"/>
      <c r="N151" s="12"/>
      <c r="O151" s="59"/>
      <c r="P151" s="12"/>
      <c r="Q151" s="12"/>
      <c r="R151" s="59"/>
      <c r="S151" s="12"/>
      <c r="T151" s="12"/>
      <c r="U151" s="59"/>
      <c r="V151" s="12"/>
      <c r="W151" s="12"/>
      <c r="X151" s="59"/>
    </row>
    <row r="152" spans="1:27" ht="14.1" customHeight="1" thickBot="1" x14ac:dyDescent="0.25">
      <c r="A152" s="11">
        <v>19</v>
      </c>
      <c r="B152" s="52"/>
      <c r="C152" s="58" t="s">
        <v>48</v>
      </c>
      <c r="D152" s="1"/>
      <c r="E152" s="1"/>
      <c r="F152" s="35"/>
      <c r="G152" s="25">
        <f>AVERAGE(G137:G149)</f>
        <v>96318.709128586357</v>
      </c>
      <c r="H152" s="26">
        <f>AVERAGE(H137:H149)</f>
        <v>320.47338904419809</v>
      </c>
      <c r="I152" s="74">
        <v>0</v>
      </c>
      <c r="J152" s="25">
        <f>AVERAGE(J137:J149)</f>
        <v>3387464.2743554139</v>
      </c>
      <c r="K152" s="26">
        <f>AVERAGE(K137:K149)</f>
        <v>18695.089199999999</v>
      </c>
      <c r="L152" s="27">
        <v>0</v>
      </c>
      <c r="M152" s="25">
        <f>AVERAGE(M137:M149)</f>
        <v>3384337.3846153845</v>
      </c>
      <c r="N152" s="26">
        <f>AVERAGE(N137:N149)</f>
        <v>18684.284615384615</v>
      </c>
      <c r="O152" s="74">
        <v>0</v>
      </c>
      <c r="P152" s="25">
        <f>AVERAGE(P137:P149)</f>
        <v>0</v>
      </c>
      <c r="Q152" s="26">
        <f>AVERAGE(Q137:Q149)</f>
        <v>0</v>
      </c>
      <c r="R152" s="74">
        <v>0</v>
      </c>
      <c r="S152" s="25">
        <f>AVERAGE(S137:S149)</f>
        <v>0</v>
      </c>
      <c r="T152" s="26">
        <f>AVERAGE(T137:T149)</f>
        <v>0</v>
      </c>
      <c r="U152" s="74">
        <v>0</v>
      </c>
      <c r="V152" s="25">
        <f>AVERAGE(V137:V149)</f>
        <v>99445.598868615925</v>
      </c>
      <c r="W152" s="26">
        <f>AVERAGE(W137:W149)</f>
        <v>331.27797692307689</v>
      </c>
      <c r="X152" s="74">
        <v>0</v>
      </c>
    </row>
    <row r="153" spans="1:27" ht="14.1" customHeight="1" thickTop="1" x14ac:dyDescent="0.2">
      <c r="A153" s="11">
        <v>20</v>
      </c>
      <c r="D153" s="1"/>
      <c r="E153" s="1"/>
      <c r="F153" s="35"/>
      <c r="G153" s="1"/>
      <c r="H153" s="1"/>
      <c r="I153" s="35"/>
      <c r="J153" s="1"/>
      <c r="K153" s="1"/>
      <c r="L153" s="35"/>
      <c r="M153" s="1"/>
      <c r="N153" s="1"/>
      <c r="O153" s="35"/>
      <c r="P153" s="1"/>
      <c r="Q153" s="1"/>
      <c r="R153" s="35"/>
      <c r="S153" s="1"/>
      <c r="T153" s="1"/>
      <c r="U153" s="35"/>
      <c r="V153" s="1"/>
      <c r="W153" s="1"/>
      <c r="X153" s="35"/>
    </row>
    <row r="154" spans="1:27" ht="14.1" customHeight="1" x14ac:dyDescent="0.2">
      <c r="A154" s="11">
        <v>21</v>
      </c>
      <c r="B154" s="52" t="s">
        <v>30</v>
      </c>
      <c r="S154" s="20"/>
      <c r="W154" s="53"/>
      <c r="X154" s="53"/>
    </row>
    <row r="155" spans="1:27" ht="14.1" customHeight="1" x14ac:dyDescent="0.2">
      <c r="A155" s="11">
        <v>22</v>
      </c>
      <c r="B155" s="11" t="s">
        <v>66</v>
      </c>
      <c r="D155" s="12"/>
      <c r="E155" s="12"/>
      <c r="F155" s="35"/>
      <c r="G155" s="12"/>
      <c r="H155" s="12"/>
      <c r="I155" s="35"/>
      <c r="J155" s="12"/>
      <c r="K155" s="12"/>
      <c r="L155" s="35"/>
      <c r="M155" s="1"/>
      <c r="N155" s="12"/>
      <c r="O155" s="35"/>
      <c r="P155" s="1"/>
      <c r="Q155" s="1"/>
      <c r="R155" s="1"/>
      <c r="S155" s="12"/>
      <c r="T155" s="12"/>
      <c r="U155" s="35"/>
      <c r="V155" s="1"/>
      <c r="W155" s="1"/>
      <c r="X155" s="1"/>
    </row>
    <row r="156" spans="1:27" ht="14.1" customHeight="1" x14ac:dyDescent="0.2">
      <c r="A156" s="11">
        <v>23</v>
      </c>
      <c r="D156" s="12"/>
      <c r="E156" s="12"/>
      <c r="F156" s="35"/>
      <c r="G156" s="12"/>
      <c r="H156" s="12"/>
      <c r="I156" s="35"/>
      <c r="J156" s="12"/>
      <c r="K156" s="12"/>
      <c r="L156" s="35"/>
      <c r="M156" s="1"/>
      <c r="N156" s="12"/>
      <c r="O156" s="35"/>
      <c r="P156" s="1"/>
      <c r="Q156" s="1"/>
      <c r="R156" s="1"/>
      <c r="S156" s="12"/>
      <c r="T156" s="12"/>
      <c r="U156" s="35"/>
      <c r="V156" s="1"/>
      <c r="W156" s="1"/>
      <c r="X156" s="35"/>
      <c r="Z156" s="55" t="s">
        <v>32</v>
      </c>
      <c r="AA156" s="55" t="s">
        <v>32</v>
      </c>
    </row>
    <row r="157" spans="1:27" ht="14.1" customHeight="1" x14ac:dyDescent="0.2">
      <c r="A157" s="11">
        <v>24</v>
      </c>
      <c r="D157" s="8" t="s">
        <v>33</v>
      </c>
      <c r="E157" s="8" t="s">
        <v>34</v>
      </c>
      <c r="F157" s="35"/>
      <c r="G157" s="1">
        <f>'[4]NATURAL GAS INVENTORY'!$L$78</f>
        <v>62911.727664362093</v>
      </c>
      <c r="H157" s="14">
        <f>('[4]NATURAL GAS INVENTORY'!$L$84/1000)</f>
        <v>245.61609178477835</v>
      </c>
      <c r="I157" s="13">
        <f>IFERROR(H157*1000/G157,0)</f>
        <v>3.9041383999999999</v>
      </c>
      <c r="J157" s="1">
        <f>'[4]NATURAL GAS INVENTORY'!$M$44</f>
        <v>1639441</v>
      </c>
      <c r="K157" s="1">
        <f>('[4]NATURAL GAS INVENTORY'!$M$51/1000)</f>
        <v>9950.2154742841958</v>
      </c>
      <c r="L157" s="35">
        <f t="shared" ref="L157" si="63">IFERROR(K157*1000/J157,0)</f>
        <v>6.0692732914964287</v>
      </c>
      <c r="M157" s="1">
        <f>'[4]NATURAL GAS INVENTORY'!$M$58</f>
        <v>1639441</v>
      </c>
      <c r="N157" s="1">
        <f>('[4]NATURAL GAS INVENTORY'!$M$65/1000)</f>
        <v>9922.0049999999992</v>
      </c>
      <c r="O157" s="35">
        <f t="shared" ref="O157" si="64">IFERROR(N157*1000/M157,0)</f>
        <v>6.0520659175902027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2">
        <f>'[4]NATURAL GAS INVENTORY'!$M$78</f>
        <v>62911.727664362093</v>
      </c>
      <c r="W157" s="1">
        <f>('[4]NATURAL GAS INVENTORY'!$M$84/1000)</f>
        <v>273.82656606897456</v>
      </c>
      <c r="X157" s="35">
        <f t="shared" ref="X157" si="65">IFERROR(W157*1000/V157,0)</f>
        <v>4.3525520000000002</v>
      </c>
      <c r="Z157" s="56">
        <f>+G157+J157-M157-P157+S157-V157</f>
        <v>8.0035533756017685E-11</v>
      </c>
      <c r="AA157" s="56">
        <f>+H157+K157-N157-Q157+T157-W157</f>
        <v>1.2505552149377763E-12</v>
      </c>
    </row>
    <row r="158" spans="1:27" s="2" customFormat="1" ht="14.1" customHeight="1" x14ac:dyDescent="0.2">
      <c r="A158" s="11">
        <v>25</v>
      </c>
      <c r="B158" s="36"/>
      <c r="C158" s="20"/>
      <c r="D158" s="1" t="s">
        <v>35</v>
      </c>
      <c r="E158" s="8" t="s">
        <v>36</v>
      </c>
      <c r="F158" s="1"/>
      <c r="G158" s="1">
        <f>+V157</f>
        <v>62911.727664362093</v>
      </c>
      <c r="H158" s="1">
        <f>+W157</f>
        <v>273.82656606897456</v>
      </c>
      <c r="I158" s="35">
        <f t="shared" ref="I158:I169" si="66">IFERROR(H158*1000/G158,0)</f>
        <v>4.3525520000000002</v>
      </c>
      <c r="J158" s="1">
        <f>'[3]NATURAL GAS INVENTORY'!$B$44</f>
        <v>1748123.4567134976</v>
      </c>
      <c r="K158" s="1">
        <f>ROUND('[3]NATURAL GAS INVENTORY'!$B$51/1000,4)</f>
        <v>10772.648800000001</v>
      </c>
      <c r="L158" s="35">
        <f t="shared" ref="L158:L169" si="67">IFERROR(K158*1000/J158,0)</f>
        <v>6.1624073280572338</v>
      </c>
      <c r="M158" s="1">
        <f>'[3]NATURAL GAS INVENTORY'!$B$58</f>
        <v>1749504</v>
      </c>
      <c r="N158" s="1">
        <f>ROUND('[3]NATURAL GAS INVENTORY'!$B$65/1000,4)</f>
        <v>10817.607</v>
      </c>
      <c r="O158" s="59">
        <f t="shared" ref="O158:O169" si="68">IFERROR(N158*1000/M158,0)</f>
        <v>6.1832422217954344</v>
      </c>
      <c r="P158" s="12">
        <v>0</v>
      </c>
      <c r="Q158" s="12">
        <v>0</v>
      </c>
      <c r="R158" s="12">
        <f t="shared" ref="R158:R169" si="69">IFERROR(Q158*1000/P158,0)</f>
        <v>0</v>
      </c>
      <c r="S158" s="12">
        <v>0</v>
      </c>
      <c r="T158" s="12">
        <v>0</v>
      </c>
      <c r="U158" s="12">
        <f t="shared" ref="U158:U169" si="70">IFERROR(T158*1000/S158,0)</f>
        <v>0</v>
      </c>
      <c r="V158" s="12">
        <f>'[3]NATURAL GAS INVENTORY'!$B$78</f>
        <v>61531.18437785971</v>
      </c>
      <c r="W158" s="1">
        <f>ROUND('[3]NATURAL GAS INVENTORY'!$B$84/1000,4)</f>
        <v>228.86840000000001</v>
      </c>
      <c r="X158" s="35">
        <f t="shared" ref="X158:X169" si="71">IFERROR(W158*1000/V158,0)</f>
        <v>3.7195513513039402</v>
      </c>
      <c r="Z158" s="38">
        <f t="shared" ref="Z158:Z168" si="72">+G158+J158-M158-P158+S158-V158</f>
        <v>1.0186340659856796E-10</v>
      </c>
      <c r="AA158" s="38">
        <f t="shared" ref="AA158:AA169" si="73">+H158+K158-N158-Q158+T158-W158</f>
        <v>-3.3931025143374427E-5</v>
      </c>
    </row>
    <row r="159" spans="1:27" s="2" customFormat="1" ht="14.1" customHeight="1" x14ac:dyDescent="0.2">
      <c r="A159" s="11">
        <v>26</v>
      </c>
      <c r="B159" s="20"/>
      <c r="C159" s="20"/>
      <c r="D159" s="8" t="s">
        <v>37</v>
      </c>
      <c r="E159" s="8" t="s">
        <v>36</v>
      </c>
      <c r="F159" s="1"/>
      <c r="G159" s="1">
        <f t="shared" ref="G159:G169" si="74">+V158</f>
        <v>61531.18437785971</v>
      </c>
      <c r="H159" s="1">
        <f t="shared" ref="H159:H169" si="75">+W158</f>
        <v>228.86840000000001</v>
      </c>
      <c r="I159" s="35">
        <f t="shared" si="66"/>
        <v>3.7195513513039402</v>
      </c>
      <c r="J159" s="1">
        <f>'[3]NATURAL GAS INVENTORY'!$C$44</f>
        <v>2109556</v>
      </c>
      <c r="K159" s="1">
        <f>ROUND('[3]NATURAL GAS INVENTORY'!$C$51/1000,4)</f>
        <v>12877.2358</v>
      </c>
      <c r="L159" s="35">
        <f t="shared" si="67"/>
        <v>6.1042398495228385</v>
      </c>
      <c r="M159" s="1">
        <f>'[3]NATURAL GAS INVENTORY'!$C$58</f>
        <v>2109556</v>
      </c>
      <c r="N159" s="1">
        <f>ROUND('[3]NATURAL GAS INVENTORY'!$C$65/1000,4)</f>
        <v>12882.205</v>
      </c>
      <c r="O159" s="59">
        <f t="shared" si="68"/>
        <v>6.10659541628665</v>
      </c>
      <c r="P159" s="12">
        <v>0</v>
      </c>
      <c r="Q159" s="12">
        <v>0</v>
      </c>
      <c r="R159" s="12">
        <f t="shared" si="69"/>
        <v>0</v>
      </c>
      <c r="S159" s="12">
        <v>0</v>
      </c>
      <c r="T159" s="12">
        <v>0</v>
      </c>
      <c r="U159" s="12">
        <f t="shared" si="70"/>
        <v>0</v>
      </c>
      <c r="V159" s="12">
        <f>'[3]NATURAL GAS INVENTORY'!$C$78</f>
        <v>61531.18437785971</v>
      </c>
      <c r="W159" s="1">
        <f>ROUND('[3]NATURAL GAS INVENTORY'!$C$84/1000,4)</f>
        <v>223.8991</v>
      </c>
      <c r="X159" s="35">
        <f t="shared" si="71"/>
        <v>3.6387906760423725</v>
      </c>
      <c r="Z159" s="38">
        <f t="shared" si="72"/>
        <v>1.0186340659856796E-10</v>
      </c>
      <c r="AA159" s="38">
        <f t="shared" si="73"/>
        <v>9.9999999832789399E-5</v>
      </c>
    </row>
    <row r="160" spans="1:27" s="2" customFormat="1" ht="14.1" customHeight="1" x14ac:dyDescent="0.2">
      <c r="A160" s="11">
        <v>27</v>
      </c>
      <c r="B160" s="20"/>
      <c r="C160" s="20"/>
      <c r="D160" s="1" t="s">
        <v>38</v>
      </c>
      <c r="E160" s="8" t="s">
        <v>36</v>
      </c>
      <c r="F160" s="1"/>
      <c r="G160" s="1">
        <f t="shared" si="74"/>
        <v>61531.18437785971</v>
      </c>
      <c r="H160" s="1">
        <f t="shared" si="75"/>
        <v>223.8991</v>
      </c>
      <c r="I160" s="35">
        <f t="shared" si="66"/>
        <v>3.6387906760423725</v>
      </c>
      <c r="J160" s="1">
        <f>'[3]NATURAL GAS INVENTORY'!$D$44</f>
        <v>361609</v>
      </c>
      <c r="K160" s="1">
        <f>ROUND('[3]NATURAL GAS INVENTORY'!$D$51/1000,4)</f>
        <v>2035.7594999999999</v>
      </c>
      <c r="L160" s="35">
        <f t="shared" si="67"/>
        <v>5.6297257535072411</v>
      </c>
      <c r="M160" s="1">
        <f>'[3]NATURAL GAS INVENTORY'!$D$58</f>
        <v>361609</v>
      </c>
      <c r="N160" s="1">
        <f>ROUND('[3]NATURAL GAS INVENTORY'!$D$65/1000,4)</f>
        <v>2054.9279999999999</v>
      </c>
      <c r="O160" s="59">
        <f t="shared" si="68"/>
        <v>5.6827346664491207</v>
      </c>
      <c r="P160" s="12">
        <v>0</v>
      </c>
      <c r="Q160" s="12">
        <v>0</v>
      </c>
      <c r="R160" s="12">
        <f t="shared" si="69"/>
        <v>0</v>
      </c>
      <c r="S160" s="12">
        <v>0</v>
      </c>
      <c r="T160" s="12">
        <v>0</v>
      </c>
      <c r="U160" s="12">
        <f t="shared" si="70"/>
        <v>0</v>
      </c>
      <c r="V160" s="12">
        <f>'[3]NATURAL GAS INVENTORY'!$D$78</f>
        <v>61531.18437785971</v>
      </c>
      <c r="W160" s="1">
        <f>ROUND('[3]NATURAL GAS INVENTORY'!$D$84/1000,4)</f>
        <v>204.73060000000001</v>
      </c>
      <c r="X160" s="35">
        <f t="shared" si="71"/>
        <v>3.3272657120129585</v>
      </c>
      <c r="Z160" s="38">
        <f t="shared" si="72"/>
        <v>0</v>
      </c>
      <c r="AA160" s="38">
        <f t="shared" si="73"/>
        <v>0</v>
      </c>
    </row>
    <row r="161" spans="1:27" s="2" customFormat="1" ht="14.1" customHeight="1" x14ac:dyDescent="0.2">
      <c r="A161" s="11">
        <v>28</v>
      </c>
      <c r="B161" s="20"/>
      <c r="C161" s="20"/>
      <c r="D161" s="8" t="s">
        <v>39</v>
      </c>
      <c r="E161" s="8" t="s">
        <v>36</v>
      </c>
      <c r="F161" s="1"/>
      <c r="G161" s="1">
        <f t="shared" si="74"/>
        <v>61531.18437785971</v>
      </c>
      <c r="H161" s="1">
        <f t="shared" si="75"/>
        <v>204.73060000000001</v>
      </c>
      <c r="I161" s="35">
        <f t="shared" si="66"/>
        <v>3.3272657120129585</v>
      </c>
      <c r="J161" s="1">
        <f>'[3]NATURAL GAS INVENTORY'!$E$44</f>
        <v>0</v>
      </c>
      <c r="K161" s="1">
        <f>ROUND('[3]NATURAL GAS INVENTORY'!$E$51/1000,4)</f>
        <v>0</v>
      </c>
      <c r="L161" s="35">
        <f t="shared" si="67"/>
        <v>0</v>
      </c>
      <c r="M161" s="1">
        <f>'[3]NATURAL GAS INVENTORY'!$E$58</f>
        <v>0</v>
      </c>
      <c r="N161" s="1">
        <f>ROUND('[3]NATURAL GAS INVENTORY'!$E$65/1000,4)</f>
        <v>0</v>
      </c>
      <c r="O161" s="59">
        <f t="shared" si="68"/>
        <v>0</v>
      </c>
      <c r="P161" s="12">
        <v>0</v>
      </c>
      <c r="Q161" s="12">
        <v>0</v>
      </c>
      <c r="R161" s="12">
        <f t="shared" si="69"/>
        <v>0</v>
      </c>
      <c r="S161" s="12">
        <v>0</v>
      </c>
      <c r="T161" s="12">
        <v>0</v>
      </c>
      <c r="U161" s="12">
        <f t="shared" si="70"/>
        <v>0</v>
      </c>
      <c r="V161" s="12">
        <f>'[3]NATURAL GAS INVENTORY'!$E$78</f>
        <v>61531.18437785971</v>
      </c>
      <c r="W161" s="1">
        <f>ROUND('[3]NATURAL GAS INVENTORY'!$E$84/1000,4)</f>
        <v>182.06039999999999</v>
      </c>
      <c r="X161" s="35">
        <f t="shared" si="71"/>
        <v>2.9588313932326868</v>
      </c>
      <c r="Z161" s="38">
        <f t="shared" si="72"/>
        <v>0</v>
      </c>
      <c r="AA161" s="38">
        <f t="shared" si="73"/>
        <v>22.670200000000023</v>
      </c>
    </row>
    <row r="162" spans="1:27" s="2" customFormat="1" ht="14.1" customHeight="1" x14ac:dyDescent="0.2">
      <c r="A162" s="11">
        <v>29</v>
      </c>
      <c r="B162" s="20"/>
      <c r="C162" s="20"/>
      <c r="D162" s="1" t="s">
        <v>40</v>
      </c>
      <c r="E162" s="8" t="s">
        <v>36</v>
      </c>
      <c r="F162" s="1"/>
      <c r="G162" s="1">
        <f t="shared" si="74"/>
        <v>61531.18437785971</v>
      </c>
      <c r="H162" s="1">
        <f t="shared" si="75"/>
        <v>182.06039999999999</v>
      </c>
      <c r="I162" s="35">
        <f t="shared" si="66"/>
        <v>2.9588313932326868</v>
      </c>
      <c r="J162" s="1">
        <f>'[3]NATURAL GAS INVENTORY'!$F$44</f>
        <v>2304518</v>
      </c>
      <c r="K162" s="1">
        <f>ROUND('[3]NATURAL GAS INVENTORY'!$F$51/1000,4)</f>
        <v>12110.8012</v>
      </c>
      <c r="L162" s="35">
        <f t="shared" si="67"/>
        <v>5.2552426147246409</v>
      </c>
      <c r="M162" s="1">
        <f>'[3]NATURAL GAS INVENTORY'!$F$58</f>
        <v>2304518</v>
      </c>
      <c r="N162" s="1">
        <f>ROUND('[3]NATURAL GAS INVENTORY'!$F$65/1000,4)</f>
        <v>12112.208000000001</v>
      </c>
      <c r="O162" s="35">
        <f t="shared" si="68"/>
        <v>5.2558530677564681</v>
      </c>
      <c r="P162" s="1">
        <v>0</v>
      </c>
      <c r="Q162" s="1">
        <v>0</v>
      </c>
      <c r="R162" s="1">
        <f t="shared" si="69"/>
        <v>0</v>
      </c>
      <c r="S162" s="1">
        <v>0</v>
      </c>
      <c r="T162" s="1">
        <v>0</v>
      </c>
      <c r="U162" s="1">
        <f t="shared" si="70"/>
        <v>0</v>
      </c>
      <c r="V162" s="12">
        <f>'[3]NATURAL GAS INVENTORY'!$F$78</f>
        <v>61531.18437785971</v>
      </c>
      <c r="W162" s="1">
        <f>ROUND('[3]NATURAL GAS INVENTORY'!$F$84/1000,4)</f>
        <v>180.65360000000001</v>
      </c>
      <c r="X162" s="35">
        <f t="shared" si="71"/>
        <v>2.9359681895706071</v>
      </c>
      <c r="Z162" s="38">
        <f t="shared" si="72"/>
        <v>1.0186340659856796E-10</v>
      </c>
      <c r="AA162" s="38">
        <f t="shared" si="73"/>
        <v>-3.694822225952521E-13</v>
      </c>
    </row>
    <row r="163" spans="1:27" s="2" customFormat="1" ht="14.1" customHeight="1" x14ac:dyDescent="0.2">
      <c r="A163" s="11">
        <v>30</v>
      </c>
      <c r="B163" s="20"/>
      <c r="C163" s="20"/>
      <c r="D163" s="8" t="s">
        <v>41</v>
      </c>
      <c r="E163" s="8" t="s">
        <v>36</v>
      </c>
      <c r="F163" s="1"/>
      <c r="G163" s="1">
        <f t="shared" si="74"/>
        <v>61531.18437785971</v>
      </c>
      <c r="H163" s="1">
        <f t="shared" si="75"/>
        <v>180.65360000000001</v>
      </c>
      <c r="I163" s="35">
        <f t="shared" si="66"/>
        <v>2.9359681895706071</v>
      </c>
      <c r="J163" s="1">
        <f>'[3]NATURAL GAS INVENTORY'!$G$44</f>
        <v>3046567</v>
      </c>
      <c r="K163" s="1">
        <f>ROUND('[3]NATURAL GAS INVENTORY'!$G$51/1000,4)</f>
        <v>15878.8827</v>
      </c>
      <c r="L163" s="35">
        <f t="shared" si="67"/>
        <v>5.2120576045102567</v>
      </c>
      <c r="M163" s="1">
        <f>'[3]NATURAL GAS INVENTORY'!$G$58</f>
        <v>3046567</v>
      </c>
      <c r="N163" s="1">
        <f>ROUND('[3]NATURAL GAS INVENTORY'!$G$65/1000,4)</f>
        <v>15872.951999999999</v>
      </c>
      <c r="O163" s="35">
        <f t="shared" si="68"/>
        <v>5.2101109215717232</v>
      </c>
      <c r="P163" s="1">
        <v>0</v>
      </c>
      <c r="Q163" s="1">
        <v>0</v>
      </c>
      <c r="R163" s="1">
        <f t="shared" si="69"/>
        <v>0</v>
      </c>
      <c r="S163" s="1">
        <v>0</v>
      </c>
      <c r="T163" s="1">
        <v>0</v>
      </c>
      <c r="U163" s="1">
        <f t="shared" si="70"/>
        <v>0</v>
      </c>
      <c r="V163" s="12">
        <f>'[3]NATURAL GAS INVENTORY'!$G$78</f>
        <v>61531.18437785971</v>
      </c>
      <c r="W163" s="1">
        <f>ROUND('[3]NATURAL GAS INVENTORY'!$G$84/1000,4)</f>
        <v>186.58430000000001</v>
      </c>
      <c r="X163" s="35">
        <f t="shared" si="71"/>
        <v>3.0323534625011574</v>
      </c>
      <c r="Z163" s="38">
        <f t="shared" si="72"/>
        <v>1.0186340659856796E-10</v>
      </c>
      <c r="AA163" s="38">
        <f t="shared" si="73"/>
        <v>4.2632564145606011E-13</v>
      </c>
    </row>
    <row r="164" spans="1:27" s="2" customFormat="1" ht="14.1" customHeight="1" x14ac:dyDescent="0.2">
      <c r="A164" s="11">
        <v>31</v>
      </c>
      <c r="B164" s="36"/>
      <c r="C164" s="20"/>
      <c r="D164" s="1" t="s">
        <v>42</v>
      </c>
      <c r="E164" s="8" t="s">
        <v>36</v>
      </c>
      <c r="F164" s="1"/>
      <c r="G164" s="1">
        <f t="shared" si="74"/>
        <v>61531.18437785971</v>
      </c>
      <c r="H164" s="1">
        <f t="shared" si="75"/>
        <v>186.58430000000001</v>
      </c>
      <c r="I164" s="35">
        <f t="shared" si="66"/>
        <v>3.0323534625011574</v>
      </c>
      <c r="J164" s="1">
        <f>'[3]NATURAL GAS INVENTORY'!$H$44</f>
        <v>3237338</v>
      </c>
      <c r="K164" s="1">
        <f>ROUND('[3]NATURAL GAS INVENTORY'!$H$51/1000,4)</f>
        <v>17304.615600000001</v>
      </c>
      <c r="L164" s="35">
        <f t="shared" si="67"/>
        <v>5.3453224840903237</v>
      </c>
      <c r="M164" s="1">
        <f>'[3]NATURAL GAS INVENTORY'!$H$58</f>
        <v>3237338</v>
      </c>
      <c r="N164" s="1">
        <f>ROUND('[3]NATURAL GAS INVENTORY'!$H$65/1000,4)</f>
        <v>17298.776000000002</v>
      </c>
      <c r="O164" s="35">
        <f t="shared" si="68"/>
        <v>5.3435186563775545</v>
      </c>
      <c r="P164" s="1">
        <v>0</v>
      </c>
      <c r="Q164" s="1">
        <v>0</v>
      </c>
      <c r="R164" s="1">
        <f t="shared" si="69"/>
        <v>0</v>
      </c>
      <c r="S164" s="1">
        <v>0</v>
      </c>
      <c r="T164" s="1">
        <v>0</v>
      </c>
      <c r="U164" s="1">
        <f t="shared" si="70"/>
        <v>0</v>
      </c>
      <c r="V164" s="12">
        <f>'[3]NATURAL GAS INVENTORY'!$H$78</f>
        <v>61531.18437785971</v>
      </c>
      <c r="W164" s="1">
        <f>ROUND('[3]NATURAL GAS INVENTORY'!$H$84/1000,4)</f>
        <v>192.4239</v>
      </c>
      <c r="X164" s="35">
        <f t="shared" si="71"/>
        <v>3.1272581853509451</v>
      </c>
      <c r="Z164" s="38">
        <f t="shared" si="72"/>
        <v>1.0186340659856796E-10</v>
      </c>
      <c r="AA164" s="38">
        <f t="shared" si="73"/>
        <v>-2.0463630789890885E-12</v>
      </c>
    </row>
    <row r="165" spans="1:27" s="2" customFormat="1" ht="14.1" customHeight="1" x14ac:dyDescent="0.2">
      <c r="A165" s="11">
        <v>32</v>
      </c>
      <c r="B165" s="20"/>
      <c r="C165" s="20"/>
      <c r="D165" s="8" t="s">
        <v>43</v>
      </c>
      <c r="E165" s="8" t="s">
        <v>36</v>
      </c>
      <c r="F165" s="1"/>
      <c r="G165" s="1">
        <f t="shared" si="74"/>
        <v>61531.18437785971</v>
      </c>
      <c r="H165" s="1">
        <f t="shared" si="75"/>
        <v>192.4239</v>
      </c>
      <c r="I165" s="35">
        <f t="shared" si="66"/>
        <v>3.1272581853509451</v>
      </c>
      <c r="J165" s="1">
        <f>'[3]NATURAL GAS INVENTORY'!$I$44</f>
        <v>3391998</v>
      </c>
      <c r="K165" s="1">
        <f>ROUND('[3]NATURAL GAS INVENTORY'!$I$51/1000,4)</f>
        <v>18120.014599999999</v>
      </c>
      <c r="L165" s="35">
        <f t="shared" si="67"/>
        <v>5.3419885860781751</v>
      </c>
      <c r="M165" s="1">
        <f>'[3]NATURAL GAS INVENTORY'!$I$58</f>
        <v>3391998</v>
      </c>
      <c r="N165" s="1">
        <f>ROUND('[3]NATURAL GAS INVENTORY'!$I$65/1000,4)</f>
        <v>18118.203000000001</v>
      </c>
      <c r="O165" s="35">
        <f t="shared" si="68"/>
        <v>5.3414545055745908</v>
      </c>
      <c r="P165" s="1">
        <v>0</v>
      </c>
      <c r="Q165" s="1">
        <v>0</v>
      </c>
      <c r="R165" s="1">
        <f t="shared" si="69"/>
        <v>0</v>
      </c>
      <c r="S165" s="1">
        <v>0</v>
      </c>
      <c r="T165" s="1">
        <v>0</v>
      </c>
      <c r="U165" s="1">
        <f t="shared" si="70"/>
        <v>0</v>
      </c>
      <c r="V165" s="12">
        <f>'[3]NATURAL GAS INVENTORY'!$I$78</f>
        <v>61531.18437785971</v>
      </c>
      <c r="W165" s="1">
        <f>ROUND('[3]NATURAL GAS INVENTORY'!$I$84/1000,4)</f>
        <v>194.2355</v>
      </c>
      <c r="X165" s="35">
        <f t="shared" si="71"/>
        <v>3.1567001669789123</v>
      </c>
      <c r="Z165" s="38">
        <f t="shared" si="72"/>
        <v>1.0186340659856796E-10</v>
      </c>
      <c r="AA165" s="38">
        <f t="shared" si="73"/>
        <v>-1.1368683772161603E-12</v>
      </c>
    </row>
    <row r="166" spans="1:27" s="2" customFormat="1" ht="14.1" customHeight="1" x14ac:dyDescent="0.2">
      <c r="A166" s="11">
        <v>33</v>
      </c>
      <c r="B166" s="20"/>
      <c r="C166" s="20"/>
      <c r="D166" s="1" t="s">
        <v>44</v>
      </c>
      <c r="E166" s="8" t="s">
        <v>36</v>
      </c>
      <c r="F166" s="1"/>
      <c r="G166" s="1">
        <f t="shared" si="74"/>
        <v>61531.18437785971</v>
      </c>
      <c r="H166" s="1">
        <f t="shared" si="75"/>
        <v>194.2355</v>
      </c>
      <c r="I166" s="35">
        <f t="shared" si="66"/>
        <v>3.1567001669789123</v>
      </c>
      <c r="J166" s="1">
        <f>'[3]NATURAL GAS INVENTORY'!$J$44</f>
        <v>2845583</v>
      </c>
      <c r="K166" s="1">
        <f>ROUND('[3]NATURAL GAS INVENTORY'!$J$51/1000,4)</f>
        <v>15193.0362</v>
      </c>
      <c r="L166" s="35">
        <f t="shared" si="67"/>
        <v>5.3391646632693552</v>
      </c>
      <c r="M166" s="1">
        <f>'[3]NATURAL GAS INVENTORY'!$J$58</f>
        <v>2845583</v>
      </c>
      <c r="N166" s="1">
        <f>ROUND('[3]NATURAL GAS INVENTORY'!$J$65/1000,4)</f>
        <v>15195.201999999999</v>
      </c>
      <c r="O166" s="35">
        <f t="shared" si="68"/>
        <v>5.3399257726799743</v>
      </c>
      <c r="P166" s="1">
        <v>0</v>
      </c>
      <c r="Q166" s="1">
        <v>0</v>
      </c>
      <c r="R166" s="1">
        <f t="shared" si="69"/>
        <v>0</v>
      </c>
      <c r="S166" s="1">
        <v>0</v>
      </c>
      <c r="T166" s="1">
        <v>0</v>
      </c>
      <c r="U166" s="1">
        <f t="shared" si="70"/>
        <v>0</v>
      </c>
      <c r="V166" s="12">
        <f>'[3]NATURAL GAS INVENTORY'!$J$78</f>
        <v>61531.18437785971</v>
      </c>
      <c r="W166" s="1">
        <f>ROUND('[3]NATURAL GAS INVENTORY'!$J$84/1000,4)</f>
        <v>192.06970000000001</v>
      </c>
      <c r="X166" s="35">
        <f t="shared" si="71"/>
        <v>3.1215017546307946</v>
      </c>
      <c r="Z166" s="38">
        <f t="shared" si="72"/>
        <v>1.0186340659856796E-10</v>
      </c>
      <c r="AA166" s="38">
        <f t="shared" si="73"/>
        <v>1.8189894035458565E-12</v>
      </c>
    </row>
    <row r="167" spans="1:27" s="2" customFormat="1" ht="14.1" customHeight="1" x14ac:dyDescent="0.2">
      <c r="A167" s="11">
        <v>34</v>
      </c>
      <c r="B167" s="20"/>
      <c r="C167" s="20"/>
      <c r="D167" s="8" t="s">
        <v>45</v>
      </c>
      <c r="E167" s="8" t="s">
        <v>36</v>
      </c>
      <c r="F167" s="1"/>
      <c r="G167" s="1">
        <f t="shared" si="74"/>
        <v>61531.18437785971</v>
      </c>
      <c r="H167" s="1">
        <f t="shared" si="75"/>
        <v>192.06970000000001</v>
      </c>
      <c r="I167" s="35">
        <f t="shared" si="66"/>
        <v>3.1215017546307946</v>
      </c>
      <c r="J167" s="1">
        <f>'[3]NATURAL GAS INVENTORY'!$K$44</f>
        <v>2203985</v>
      </c>
      <c r="K167" s="1">
        <f>ROUND('[3]NATURAL GAS INVENTORY'!$K$51/1000,4)</f>
        <v>12092.411599999999</v>
      </c>
      <c r="L167" s="35">
        <f t="shared" si="67"/>
        <v>5.4866124769451696</v>
      </c>
      <c r="M167" s="1">
        <f>'[3]NATURAL GAS INVENTORY'!$K$58</f>
        <v>2203985</v>
      </c>
      <c r="N167" s="1">
        <f>ROUND('[3]NATURAL GAS INVENTORY'!$K$65/1000,4)</f>
        <v>12088.92</v>
      </c>
      <c r="O167" s="35">
        <f t="shared" si="68"/>
        <v>5.4850282556369487</v>
      </c>
      <c r="P167" s="1">
        <v>0</v>
      </c>
      <c r="Q167" s="1">
        <v>0</v>
      </c>
      <c r="R167" s="1">
        <f t="shared" si="69"/>
        <v>0</v>
      </c>
      <c r="S167" s="1">
        <v>0</v>
      </c>
      <c r="T167" s="1">
        <v>0</v>
      </c>
      <c r="U167" s="1">
        <f t="shared" si="70"/>
        <v>0</v>
      </c>
      <c r="V167" s="12">
        <f>'[3]NATURAL GAS INVENTORY'!$K$78</f>
        <v>61531.18437785971</v>
      </c>
      <c r="W167" s="1">
        <f>ROUND('[3]NATURAL GAS INVENTORY'!$K$84/1000,4)</f>
        <v>195.56129999999999</v>
      </c>
      <c r="X167" s="35">
        <f t="shared" si="71"/>
        <v>3.1782469649709406</v>
      </c>
      <c r="Z167" s="38">
        <f t="shared" si="72"/>
        <v>1.0186340659856796E-10</v>
      </c>
      <c r="AA167" s="38">
        <f t="shared" si="73"/>
        <v>-5.9685589803848416E-13</v>
      </c>
    </row>
    <row r="168" spans="1:27" s="2" customFormat="1" ht="14.1" customHeight="1" x14ac:dyDescent="0.2">
      <c r="A168" s="11">
        <v>35</v>
      </c>
      <c r="B168" s="20"/>
      <c r="C168" s="20"/>
      <c r="D168" s="1" t="s">
        <v>46</v>
      </c>
      <c r="E168" s="8" t="s">
        <v>36</v>
      </c>
      <c r="F168" s="1"/>
      <c r="G168" s="1">
        <f t="shared" si="74"/>
        <v>61531.18437785971</v>
      </c>
      <c r="H168" s="1">
        <f t="shared" si="75"/>
        <v>195.56129999999999</v>
      </c>
      <c r="I168" s="35">
        <f t="shared" si="66"/>
        <v>3.1782469649709406</v>
      </c>
      <c r="J168" s="1">
        <f>'[3]NATURAL GAS INVENTORY'!$L$44</f>
        <v>2315070</v>
      </c>
      <c r="K168" s="1">
        <f>ROUND('[3]NATURAL GAS INVENTORY'!$L$51/1000,4)</f>
        <v>13194.6708</v>
      </c>
      <c r="L168" s="35">
        <f t="shared" si="67"/>
        <v>5.6994694760849569</v>
      </c>
      <c r="M168" s="1">
        <f>'[3]NATURAL GAS INVENTORY'!$L$58</f>
        <v>2315070</v>
      </c>
      <c r="N168" s="1">
        <f>ROUND('[3]NATURAL GAS INVENTORY'!$L$65/1000,4)</f>
        <v>13178.832</v>
      </c>
      <c r="O168" s="35">
        <f t="shared" si="68"/>
        <v>5.6926278687037541</v>
      </c>
      <c r="P168" s="1">
        <v>0</v>
      </c>
      <c r="Q168" s="1">
        <v>0</v>
      </c>
      <c r="R168" s="1">
        <f t="shared" si="69"/>
        <v>0</v>
      </c>
      <c r="S168" s="1">
        <v>0</v>
      </c>
      <c r="T168" s="1">
        <v>0</v>
      </c>
      <c r="U168" s="1">
        <f t="shared" si="70"/>
        <v>0</v>
      </c>
      <c r="V168" s="12">
        <f>'[3]NATURAL GAS INVENTORY'!$L$78</f>
        <v>61531.18437785971</v>
      </c>
      <c r="W168" s="1">
        <f>ROUND('[3]NATURAL GAS INVENTORY'!$L$84/1000,4)</f>
        <v>211.40010000000001</v>
      </c>
      <c r="X168" s="35">
        <f t="shared" si="71"/>
        <v>3.4356579048081262</v>
      </c>
      <c r="Z168" s="38">
        <f t="shared" si="72"/>
        <v>1.0186340659856796E-10</v>
      </c>
      <c r="AA168" s="38">
        <f t="shared" si="73"/>
        <v>-1.0800249583553523E-12</v>
      </c>
    </row>
    <row r="169" spans="1:27" s="2" customFormat="1" ht="14.1" customHeight="1" x14ac:dyDescent="0.2">
      <c r="A169" s="11">
        <v>36</v>
      </c>
      <c r="B169" s="20"/>
      <c r="C169" s="20"/>
      <c r="D169" s="8" t="s">
        <v>33</v>
      </c>
      <c r="E169" s="8" t="s">
        <v>36</v>
      </c>
      <c r="F169" s="1"/>
      <c r="G169" s="1">
        <f t="shared" si="74"/>
        <v>61531.18437785971</v>
      </c>
      <c r="H169" s="1">
        <f t="shared" si="75"/>
        <v>211.40010000000001</v>
      </c>
      <c r="I169" s="35">
        <f t="shared" si="66"/>
        <v>3.4356579048081262</v>
      </c>
      <c r="J169" s="1">
        <f>'[3]NATURAL GAS INVENTORY'!$M$44</f>
        <v>1804028</v>
      </c>
      <c r="K169" s="1">
        <f>ROUND('[3]NATURAL GAS INVENTORY'!$M$51/1000,4)</f>
        <v>11174.0882</v>
      </c>
      <c r="L169" s="35">
        <f t="shared" si="67"/>
        <v>6.1939660581764802</v>
      </c>
      <c r="M169" s="1">
        <f>'[3]NATURAL GAS INVENTORY'!$M$58</f>
        <v>1804028</v>
      </c>
      <c r="N169" s="1">
        <f>ROUND('[3]NATURAL GAS INVENTORY'!$M$65/1000,4)</f>
        <v>11156.205</v>
      </c>
      <c r="O169" s="35">
        <f t="shared" si="68"/>
        <v>6.1840531299957648</v>
      </c>
      <c r="P169" s="1">
        <v>0</v>
      </c>
      <c r="Q169" s="1">
        <v>0</v>
      </c>
      <c r="R169" s="1">
        <f t="shared" si="69"/>
        <v>0</v>
      </c>
      <c r="S169" s="1">
        <v>0</v>
      </c>
      <c r="T169" s="1">
        <v>0</v>
      </c>
      <c r="U169" s="1">
        <f t="shared" si="70"/>
        <v>0</v>
      </c>
      <c r="V169" s="12">
        <f>'[3]NATURAL GAS INVENTORY'!$M$78</f>
        <v>61531.18437785971</v>
      </c>
      <c r="W169" s="1">
        <f>ROUND('[3]NATURAL GAS INVENTORY'!$M$84/1000,4)</f>
        <v>229.2833</v>
      </c>
      <c r="X169" s="35">
        <f t="shared" si="71"/>
        <v>3.7262942736805376</v>
      </c>
      <c r="Z169" s="38">
        <f>+G169+J169-M169-P169+S169-V169</f>
        <v>1.0186340659856796E-10</v>
      </c>
      <c r="AA169" s="38">
        <f t="shared" si="73"/>
        <v>9.6633812063373625E-13</v>
      </c>
    </row>
    <row r="170" spans="1:27" ht="14.1" customHeight="1" thickBot="1" x14ac:dyDescent="0.25">
      <c r="A170" s="11">
        <v>37</v>
      </c>
      <c r="C170" s="58" t="s">
        <v>47</v>
      </c>
      <c r="D170" s="1"/>
      <c r="E170" s="1"/>
      <c r="F170" s="35"/>
      <c r="G170" s="1"/>
      <c r="H170" s="1"/>
      <c r="I170" s="35"/>
      <c r="J170" s="22">
        <f>SUM(J158:J169)</f>
        <v>25368375.456713498</v>
      </c>
      <c r="K170" s="23">
        <f>SUM(K158:K169)</f>
        <v>140754.16499999998</v>
      </c>
      <c r="L170" s="24">
        <f>IF(K170&gt;0,ROUND((K170*1000)/J170,2),4)</f>
        <v>5.55</v>
      </c>
      <c r="M170" s="22">
        <f>SUM(M158:M169)</f>
        <v>25369756</v>
      </c>
      <c r="N170" s="23">
        <f>SUM(N158:N169)</f>
        <v>140776.03799999997</v>
      </c>
      <c r="O170" s="24">
        <f>IF(N170&gt;0,ROUND((N170*1000)/M170,2),4)</f>
        <v>5.55</v>
      </c>
      <c r="P170" s="22">
        <f>SUM(P158:P169)</f>
        <v>0</v>
      </c>
      <c r="Q170" s="23">
        <f>SUM(Q158:Q169)</f>
        <v>0</v>
      </c>
      <c r="R170" s="24">
        <v>0</v>
      </c>
      <c r="S170" s="22">
        <f>SUM(S157:S169)</f>
        <v>0</v>
      </c>
      <c r="T170" s="23">
        <f>SUM(T157:T169)</f>
        <v>0</v>
      </c>
      <c r="U170" s="24">
        <v>0</v>
      </c>
      <c r="V170" s="12"/>
      <c r="W170" s="28"/>
      <c r="X170" s="19"/>
    </row>
    <row r="171" spans="1:27" ht="14.1" customHeight="1" thickTop="1" x14ac:dyDescent="0.2">
      <c r="A171" s="11">
        <v>38</v>
      </c>
      <c r="D171" s="1"/>
      <c r="E171" s="1"/>
      <c r="F171" s="35"/>
      <c r="G171" s="1"/>
      <c r="H171" s="12"/>
      <c r="I171" s="59"/>
      <c r="J171" s="12"/>
      <c r="K171" s="12"/>
      <c r="L171" s="59"/>
      <c r="M171" s="12"/>
      <c r="N171" s="12"/>
      <c r="O171" s="59"/>
      <c r="P171" s="12"/>
      <c r="Q171" s="12"/>
      <c r="R171" s="59"/>
      <c r="S171" s="12"/>
      <c r="T171" s="12"/>
      <c r="U171" s="59"/>
      <c r="V171" s="12"/>
      <c r="W171" s="12"/>
      <c r="X171" s="59"/>
    </row>
    <row r="172" spans="1:27" ht="14.1" customHeight="1" thickBot="1" x14ac:dyDescent="0.25">
      <c r="A172" s="11">
        <v>39</v>
      </c>
      <c r="B172" s="52"/>
      <c r="C172" s="58" t="s">
        <v>48</v>
      </c>
      <c r="D172" s="1"/>
      <c r="E172" s="1"/>
      <c r="F172" s="35"/>
      <c r="G172" s="25">
        <f>AVERAGE(G157:G169)</f>
        <v>61743.575652706219</v>
      </c>
      <c r="H172" s="26">
        <f>AVERAGE(H157:H169)</f>
        <v>208.60996598875019</v>
      </c>
      <c r="I172" s="74">
        <v>0</v>
      </c>
      <c r="J172" s="25">
        <f>AVERAGE(J157:J169)</f>
        <v>2077524.3428241152</v>
      </c>
      <c r="K172" s="26">
        <f>AVERAGE(K157:K169)</f>
        <v>11592.644651868015</v>
      </c>
      <c r="L172" s="27">
        <v>0</v>
      </c>
      <c r="M172" s="25">
        <f>AVERAGE(M157:M169)</f>
        <v>2077630.5384615385</v>
      </c>
      <c r="N172" s="26">
        <f>AVERAGE(N157:N169)</f>
        <v>11592.157153846152</v>
      </c>
      <c r="O172" s="74">
        <v>0</v>
      </c>
      <c r="P172" s="25">
        <f>AVERAGE(P157:P169)</f>
        <v>0</v>
      </c>
      <c r="Q172" s="26">
        <f>AVERAGE(Q157:Q169)</f>
        <v>0</v>
      </c>
      <c r="R172" s="74">
        <v>0</v>
      </c>
      <c r="S172" s="25">
        <f>AVERAGE(S157:S169)</f>
        <v>0</v>
      </c>
      <c r="T172" s="26">
        <f>AVERAGE(T157:T169)</f>
        <v>0</v>
      </c>
      <c r="U172" s="74">
        <v>0</v>
      </c>
      <c r="V172" s="25">
        <f>AVERAGE(V157:V169)</f>
        <v>61637.380015282964</v>
      </c>
      <c r="W172" s="26">
        <f>AVERAGE(W157:W169)</f>
        <v>207.35359738992111</v>
      </c>
      <c r="X172" s="74">
        <v>0</v>
      </c>
    </row>
    <row r="173" spans="1:27" ht="14.1" customHeight="1" thickTop="1" x14ac:dyDescent="0.2">
      <c r="A173" s="11">
        <v>40</v>
      </c>
      <c r="B173" s="58" t="s">
        <v>49</v>
      </c>
      <c r="C173" s="58" t="s">
        <v>67</v>
      </c>
      <c r="D173" s="3"/>
      <c r="F173" s="4"/>
      <c r="G173" s="4"/>
      <c r="H173" s="4"/>
      <c r="I173" s="4"/>
      <c r="J173" s="2"/>
      <c r="K173" s="4"/>
      <c r="L173" s="2"/>
      <c r="M173" s="4"/>
      <c r="N173" s="4"/>
      <c r="O173" s="4"/>
      <c r="P173" s="4"/>
      <c r="Q173" s="4"/>
      <c r="R173" s="4"/>
      <c r="S173" s="4"/>
      <c r="V173" s="2"/>
      <c r="W173" s="2"/>
      <c r="AA173" s="11"/>
    </row>
    <row r="174" spans="1:27" ht="14.1" customHeight="1" x14ac:dyDescent="0.2">
      <c r="A174" s="11">
        <v>41</v>
      </c>
      <c r="D174" s="3"/>
      <c r="F174" s="4"/>
      <c r="G174" s="4"/>
      <c r="H174" s="4"/>
      <c r="I174" s="4"/>
      <c r="J174" s="2"/>
      <c r="K174" s="4"/>
      <c r="L174" s="2"/>
      <c r="M174" s="4"/>
      <c r="N174" s="4"/>
      <c r="O174" s="4"/>
      <c r="P174" s="4"/>
      <c r="Q174" s="4"/>
      <c r="R174" s="4"/>
      <c r="S174" s="4"/>
      <c r="V174" s="2"/>
      <c r="W174" s="2"/>
    </row>
    <row r="175" spans="1:27" ht="14.1" customHeight="1" thickBot="1" x14ac:dyDescent="0.25">
      <c r="A175" s="34">
        <v>42</v>
      </c>
      <c r="B175" s="60" t="s">
        <v>59</v>
      </c>
      <c r="C175" s="34"/>
      <c r="D175" s="5"/>
      <c r="E175" s="34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34"/>
      <c r="U175" s="34"/>
      <c r="V175" s="34"/>
      <c r="W175" s="34"/>
      <c r="X175" s="34"/>
    </row>
    <row r="176" spans="1:27" ht="14.1" customHeight="1" x14ac:dyDescent="0.2">
      <c r="A176" s="11" t="s">
        <v>52</v>
      </c>
      <c r="S176" s="4"/>
      <c r="V176" s="11" t="s">
        <v>53</v>
      </c>
    </row>
    <row r="177" spans="1:27" ht="14.1" customHeight="1" thickBot="1" x14ac:dyDescent="0.25">
      <c r="A177" s="34" t="s">
        <v>0</v>
      </c>
      <c r="B177" s="34"/>
      <c r="C177" s="34"/>
      <c r="D177" s="34"/>
      <c r="E177" s="77" t="s">
        <v>1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34"/>
      <c r="V177" s="34"/>
      <c r="W177" s="34"/>
      <c r="X177" s="34" t="s">
        <v>68</v>
      </c>
    </row>
    <row r="178" spans="1:27" ht="14.1" customHeight="1" x14ac:dyDescent="0.2">
      <c r="A178" s="11" t="s">
        <v>3</v>
      </c>
      <c r="H178" s="11" t="s">
        <v>4</v>
      </c>
      <c r="J178" s="11" t="s">
        <v>5</v>
      </c>
      <c r="K178" s="42"/>
      <c r="L178" s="42"/>
      <c r="N178" s="42"/>
      <c r="O178" s="42"/>
      <c r="T178" s="32"/>
      <c r="U178" s="42" t="s">
        <v>6</v>
      </c>
      <c r="X178" s="32"/>
    </row>
    <row r="179" spans="1:27" ht="14.1" customHeight="1" x14ac:dyDescent="0.2">
      <c r="J179" s="11" t="s">
        <v>7</v>
      </c>
      <c r="K179" s="43"/>
      <c r="L179" s="32"/>
      <c r="O179" s="43"/>
      <c r="T179" s="32"/>
      <c r="U179" s="43" t="s">
        <v>8</v>
      </c>
      <c r="V179" s="32" t="s">
        <v>9</v>
      </c>
      <c r="X179" s="43"/>
    </row>
    <row r="180" spans="1:27" ht="14.1" customHeight="1" x14ac:dyDescent="0.2">
      <c r="A180" s="11" t="s">
        <v>10</v>
      </c>
      <c r="J180" s="11" t="s">
        <v>11</v>
      </c>
      <c r="K180" s="43"/>
      <c r="L180" s="32"/>
      <c r="M180" s="43"/>
      <c r="T180" s="32"/>
      <c r="U180" s="43"/>
      <c r="V180" s="32" t="s">
        <v>12</v>
      </c>
      <c r="X180" s="43"/>
    </row>
    <row r="181" spans="1:27" ht="14.1" customHeight="1" x14ac:dyDescent="0.2">
      <c r="K181" s="43"/>
      <c r="L181" s="32"/>
      <c r="M181" s="43"/>
      <c r="T181" s="32"/>
      <c r="V181" s="32" t="s">
        <v>13</v>
      </c>
      <c r="X181" s="43"/>
    </row>
    <row r="182" spans="1:27" ht="14.1" customHeight="1" thickBot="1" x14ac:dyDescent="0.25">
      <c r="A182" s="34" t="s">
        <v>14</v>
      </c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6"/>
      <c r="T182" s="34"/>
      <c r="U182" s="34"/>
      <c r="V182" s="34" t="s">
        <v>79</v>
      </c>
      <c r="W182" s="34"/>
      <c r="X182" s="34"/>
    </row>
    <row r="183" spans="1:27" ht="14.1" customHeight="1" x14ac:dyDescent="0.2"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15"/>
    </row>
    <row r="184" spans="1:27" ht="14.1" customHeight="1" x14ac:dyDescent="0.2"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15"/>
    </row>
    <row r="185" spans="1:27" ht="14.1" customHeight="1" x14ac:dyDescent="0.2">
      <c r="B185" s="40" t="s">
        <v>15</v>
      </c>
      <c r="C185" s="40"/>
      <c r="D185" s="40"/>
      <c r="E185" s="40"/>
      <c r="F185" s="40"/>
      <c r="G185" s="46"/>
      <c r="H185" s="46" t="s">
        <v>16</v>
      </c>
      <c r="I185" s="46"/>
      <c r="J185" s="47"/>
      <c r="K185" s="46" t="s">
        <v>17</v>
      </c>
      <c r="L185" s="47"/>
      <c r="M185" s="47"/>
      <c r="N185" s="47" t="s">
        <v>18</v>
      </c>
      <c r="O185" s="46"/>
      <c r="P185" s="46"/>
      <c r="Q185" s="47" t="s">
        <v>61</v>
      </c>
      <c r="R185" s="46"/>
      <c r="S185" s="16"/>
      <c r="T185" s="47" t="s">
        <v>20</v>
      </c>
      <c r="U185" s="47"/>
      <c r="V185" s="48"/>
      <c r="W185" s="46" t="s">
        <v>64</v>
      </c>
      <c r="X185" s="48"/>
    </row>
    <row r="186" spans="1:27" ht="14.1" customHeight="1" x14ac:dyDescent="0.2">
      <c r="A186" s="11" t="s">
        <v>22</v>
      </c>
      <c r="B186" s="32" t="s">
        <v>23</v>
      </c>
      <c r="C186" s="40"/>
      <c r="D186" s="40" t="s">
        <v>24</v>
      </c>
      <c r="E186" s="40" t="s">
        <v>25</v>
      </c>
      <c r="F186" s="40"/>
      <c r="G186" s="44" t="s">
        <v>26</v>
      </c>
      <c r="H186" s="40" t="s">
        <v>27</v>
      </c>
      <c r="I186" s="40" t="s">
        <v>28</v>
      </c>
      <c r="J186" s="44" t="s">
        <v>26</v>
      </c>
      <c r="K186" s="40" t="s">
        <v>27</v>
      </c>
      <c r="L186" s="40" t="s">
        <v>28</v>
      </c>
      <c r="M186" s="44" t="s">
        <v>26</v>
      </c>
      <c r="N186" s="40" t="s">
        <v>27</v>
      </c>
      <c r="O186" s="40" t="s">
        <v>28</v>
      </c>
      <c r="P186" s="44" t="s">
        <v>26</v>
      </c>
      <c r="Q186" s="40" t="s">
        <v>27</v>
      </c>
      <c r="R186" s="40" t="s">
        <v>28</v>
      </c>
      <c r="S186" s="17" t="s">
        <v>26</v>
      </c>
      <c r="T186" s="40" t="s">
        <v>27</v>
      </c>
      <c r="U186" s="40" t="s">
        <v>28</v>
      </c>
      <c r="V186" s="44" t="s">
        <v>26</v>
      </c>
      <c r="W186" s="40" t="s">
        <v>27</v>
      </c>
      <c r="X186" s="40" t="s">
        <v>28</v>
      </c>
    </row>
    <row r="187" spans="1:27" ht="14.1" customHeight="1" thickBot="1" x14ac:dyDescent="0.25">
      <c r="A187" s="34" t="s">
        <v>29</v>
      </c>
      <c r="B187" s="41"/>
      <c r="C187" s="41"/>
      <c r="D187" s="41"/>
      <c r="E187" s="41"/>
      <c r="F187" s="41"/>
      <c r="G187" s="49"/>
      <c r="H187" s="41"/>
      <c r="I187" s="49"/>
      <c r="J187" s="49"/>
      <c r="K187" s="49"/>
      <c r="L187" s="49"/>
      <c r="M187" s="50"/>
      <c r="N187" s="49"/>
      <c r="O187" s="51"/>
      <c r="P187" s="50"/>
      <c r="Q187" s="49"/>
      <c r="R187" s="49"/>
      <c r="S187" s="18"/>
      <c r="T187" s="34"/>
      <c r="U187" s="34"/>
      <c r="V187" s="34"/>
      <c r="W187" s="34"/>
      <c r="X187" s="34"/>
    </row>
    <row r="188" spans="1:27" ht="14.1" customHeight="1" x14ac:dyDescent="0.2">
      <c r="A188" s="11">
        <v>1</v>
      </c>
      <c r="B188" s="52" t="s">
        <v>55</v>
      </c>
      <c r="S188" s="31"/>
      <c r="W188" s="53"/>
      <c r="X188" s="53"/>
    </row>
    <row r="189" spans="1:27" ht="14.1" customHeight="1" x14ac:dyDescent="0.2">
      <c r="A189" s="11">
        <v>2</v>
      </c>
      <c r="B189" s="11" t="s">
        <v>66</v>
      </c>
      <c r="D189" s="12"/>
      <c r="E189" s="12"/>
      <c r="F189" s="35"/>
      <c r="G189" s="12"/>
      <c r="H189" s="12"/>
      <c r="I189" s="35"/>
      <c r="J189" s="12"/>
      <c r="K189" s="12"/>
      <c r="L189" s="35"/>
      <c r="M189" s="1"/>
      <c r="N189" s="12"/>
      <c r="O189" s="35"/>
      <c r="P189" s="1"/>
      <c r="Q189" s="1"/>
      <c r="R189" s="1"/>
      <c r="S189" s="12"/>
      <c r="T189" s="12"/>
      <c r="U189" s="35"/>
      <c r="V189" s="1"/>
      <c r="W189" s="1"/>
      <c r="X189" s="1"/>
    </row>
    <row r="190" spans="1:27" ht="14.1" customHeight="1" x14ac:dyDescent="0.2">
      <c r="A190" s="11">
        <v>3</v>
      </c>
      <c r="D190" s="12"/>
      <c r="E190" s="12"/>
      <c r="F190" s="35"/>
      <c r="G190" s="12"/>
      <c r="H190" s="12"/>
      <c r="I190" s="35"/>
      <c r="J190" s="12"/>
      <c r="K190" s="12"/>
      <c r="L190" s="35"/>
      <c r="M190" s="1"/>
      <c r="N190" s="12"/>
      <c r="O190" s="35"/>
      <c r="P190" s="1"/>
      <c r="Q190" s="1"/>
      <c r="R190" s="1"/>
      <c r="S190" s="12"/>
      <c r="T190" s="12"/>
      <c r="U190" s="35"/>
      <c r="V190" s="1"/>
      <c r="W190" s="1"/>
      <c r="X190" s="35"/>
      <c r="Z190" s="55" t="s">
        <v>32</v>
      </c>
      <c r="AA190" s="55" t="s">
        <v>32</v>
      </c>
    </row>
    <row r="191" spans="1:27" ht="14.1" customHeight="1" x14ac:dyDescent="0.2">
      <c r="A191" s="11">
        <v>4</v>
      </c>
      <c r="D191" s="8" t="s">
        <v>33</v>
      </c>
      <c r="E191" s="8" t="s">
        <v>34</v>
      </c>
      <c r="F191" s="35"/>
      <c r="G191" s="1">
        <f>'[4]NATURAL GAS INVENTORY'!$L$80</f>
        <v>108628.38536683196</v>
      </c>
      <c r="H191" s="14">
        <f>('[4]NATURAL GAS INVENTORY'!$L$86/1000)</f>
        <v>424.10025064064672</v>
      </c>
      <c r="I191" s="13">
        <f>IFERROR(H191*1000/G191,0)</f>
        <v>3.9041383999999999</v>
      </c>
      <c r="J191" s="1">
        <f>'[4]NATURAL GAS INVENTORY'!$M$46</f>
        <v>4530461</v>
      </c>
      <c r="K191" s="1">
        <f>('[4]NATURAL GAS INVENTORY'!$M$53/1000)</f>
        <v>27467.359445344529</v>
      </c>
      <c r="L191" s="35">
        <f t="shared" ref="L191" si="76">IFERROR(K191*1000/J191,0)</f>
        <v>6.0628177674070098</v>
      </c>
      <c r="M191" s="1">
        <f>'[4]NATURAL GAS INVENTORY'!$M$60</f>
        <v>4530461</v>
      </c>
      <c r="N191" s="12">
        <f>('[4]NATURAL GAS INVENTORY'!$M$67/1000)</f>
        <v>27418.649000000001</v>
      </c>
      <c r="O191" s="35">
        <f t="shared" ref="O191" si="77">IFERROR(N191*1000/M191,0)</f>
        <v>6.0520660038790757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2">
        <f>'[4]NATURAL GAS INVENTORY'!$M$80</f>
        <v>108628.38536683196</v>
      </c>
      <c r="W191" s="1">
        <f>('[4]NATURAL GAS INVENTORY'!$M$86/1000)</f>
        <v>472.81069598517519</v>
      </c>
      <c r="X191" s="35">
        <f t="shared" ref="X191" si="78">IF(W191&gt;0,ROUND((W191*1000)/V191,2),0)</f>
        <v>4.3499999999999996</v>
      </c>
      <c r="Z191" s="56">
        <f t="shared" ref="Z191:Z203" si="79">+G191+J191-M191-P191+S191-V191</f>
        <v>0</v>
      </c>
      <c r="AA191" s="56">
        <f t="shared" ref="AA191:AA203" si="80">+H191+K191-N191-Q191+T191-W191</f>
        <v>5.1159076974727213E-13</v>
      </c>
    </row>
    <row r="192" spans="1:27" s="2" customFormat="1" ht="14.1" customHeight="1" x14ac:dyDescent="0.2">
      <c r="A192" s="11">
        <v>5</v>
      </c>
      <c r="B192" s="36"/>
      <c r="C192" s="20"/>
      <c r="D192" s="1" t="s">
        <v>35</v>
      </c>
      <c r="E192" s="8" t="s">
        <v>36</v>
      </c>
      <c r="F192" s="1"/>
      <c r="G192" s="1">
        <f>+V191</f>
        <v>108628.38536683196</v>
      </c>
      <c r="H192" s="1">
        <f>+W191</f>
        <v>472.81069598517519</v>
      </c>
      <c r="I192" s="35">
        <f t="shared" ref="I192:I203" si="81">IFERROR(H192*1000/G192,0)</f>
        <v>4.3525520000000002</v>
      </c>
      <c r="J192" s="1">
        <f>'[3]NATURAL GAS INVENTORY'!$B$46</f>
        <v>4966611.2917394517</v>
      </c>
      <c r="K192" s="1">
        <f>ROUND('[3]NATURAL GAS INVENTORY'!$B$53/1000,4)</f>
        <v>30593.659299999999</v>
      </c>
      <c r="L192" s="35">
        <f t="shared" ref="L192:L203" si="82">IFERROR(K192*1000/J192,0)</f>
        <v>6.1598658527764938</v>
      </c>
      <c r="M192" s="1">
        <f>'[3]NATURAL GAS INVENTORY'!$B$60</f>
        <v>4947396</v>
      </c>
      <c r="N192" s="12">
        <f>ROUND('[3]NATURAL GAS INVENTORY'!$B$67/1000,4)</f>
        <v>30590.949000000001</v>
      </c>
      <c r="O192" s="59">
        <f t="shared" ref="O192:O203" si="83">IFERROR(N192*1000/M192,0)</f>
        <v>6.1832424572441749</v>
      </c>
      <c r="P192" s="12">
        <v>0</v>
      </c>
      <c r="Q192" s="12">
        <v>0</v>
      </c>
      <c r="R192" s="12">
        <f t="shared" ref="R192:R203" si="84">IFERROR(Q192*1000/P192,0)</f>
        <v>0</v>
      </c>
      <c r="S192" s="12">
        <v>0</v>
      </c>
      <c r="T192" s="12">
        <v>0</v>
      </c>
      <c r="U192" s="12">
        <f t="shared" ref="U192:U203" si="85">IFERROR(T192*1000/S192,0)</f>
        <v>0</v>
      </c>
      <c r="V192" s="12">
        <f>'[3]NATURAL GAS INVENTORY'!$B$80</f>
        <v>127843.67710628365</v>
      </c>
      <c r="W192" s="1">
        <f>ROUND('[3]NATURAL GAS INVENTORY'!$B$86/1000,4)</f>
        <v>475.52100000000002</v>
      </c>
      <c r="X192" s="35">
        <f t="shared" ref="X192:X203" si="86">IFERROR(W192*1000/V192,0)</f>
        <v>3.7195503975114281</v>
      </c>
      <c r="Z192" s="38">
        <f t="shared" si="79"/>
        <v>0</v>
      </c>
      <c r="AA192" s="38">
        <f t="shared" si="80"/>
        <v>-4.0148254925043148E-6</v>
      </c>
    </row>
    <row r="193" spans="1:27" s="2" customFormat="1" ht="14.1" customHeight="1" x14ac:dyDescent="0.2">
      <c r="A193" s="11">
        <v>6</v>
      </c>
      <c r="B193" s="20"/>
      <c r="C193" s="20"/>
      <c r="D193" s="8" t="s">
        <v>37</v>
      </c>
      <c r="E193" s="8" t="s">
        <v>36</v>
      </c>
      <c r="F193" s="1"/>
      <c r="G193" s="1">
        <f t="shared" ref="G193:G203" si="87">+V192</f>
        <v>127843.67710628365</v>
      </c>
      <c r="H193" s="1">
        <f t="shared" ref="H193:H203" si="88">+W192</f>
        <v>475.52100000000002</v>
      </c>
      <c r="I193" s="35">
        <f t="shared" si="81"/>
        <v>3.7195503975114281</v>
      </c>
      <c r="J193" s="1">
        <f>'[3]NATURAL GAS INVENTORY'!$C$46</f>
        <v>3346324</v>
      </c>
      <c r="K193" s="1">
        <f>ROUND('[3]NATURAL GAS INVENTORY'!$C$53/1000,4)</f>
        <v>20424.322400000001</v>
      </c>
      <c r="L193" s="35">
        <f t="shared" si="82"/>
        <v>6.1035101203589379</v>
      </c>
      <c r="M193" s="1">
        <f>'[3]NATURAL GAS INVENTORY'!$C$60</f>
        <v>3346324</v>
      </c>
      <c r="N193" s="12">
        <f>ROUND('[3]NATURAL GAS INVENTORY'!$C$67/1000,4)</f>
        <v>20434.647000000001</v>
      </c>
      <c r="O193" s="35">
        <f t="shared" si="83"/>
        <v>6.1065954761105026</v>
      </c>
      <c r="P193" s="1">
        <v>0</v>
      </c>
      <c r="Q193" s="1">
        <v>0</v>
      </c>
      <c r="R193" s="1">
        <f t="shared" si="84"/>
        <v>0</v>
      </c>
      <c r="S193" s="1">
        <v>0</v>
      </c>
      <c r="T193" s="1">
        <v>0</v>
      </c>
      <c r="U193" s="1">
        <f t="shared" si="85"/>
        <v>0</v>
      </c>
      <c r="V193" s="12">
        <f>'[3]NATURAL GAS INVENTORY'!$C$80</f>
        <v>127843.67710628365</v>
      </c>
      <c r="W193" s="1">
        <f>ROUND('[3]NATURAL GAS INVENTORY'!$C$86/1000,4)</f>
        <v>465.19639999999998</v>
      </c>
      <c r="X193" s="35">
        <f t="shared" si="86"/>
        <v>3.6387908305645493</v>
      </c>
      <c r="Z193" s="38">
        <f t="shared" si="79"/>
        <v>0</v>
      </c>
      <c r="AA193" s="38">
        <f t="shared" si="80"/>
        <v>7.3896444519050419E-13</v>
      </c>
    </row>
    <row r="194" spans="1:27" s="2" customFormat="1" ht="14.1" customHeight="1" x14ac:dyDescent="0.2">
      <c r="A194" s="11">
        <v>7</v>
      </c>
      <c r="B194" s="20"/>
      <c r="C194" s="20"/>
      <c r="D194" s="1" t="s">
        <v>38</v>
      </c>
      <c r="E194" s="8" t="s">
        <v>36</v>
      </c>
      <c r="F194" s="1"/>
      <c r="G194" s="1">
        <f t="shared" si="87"/>
        <v>127843.67710628365</v>
      </c>
      <c r="H194" s="1">
        <f t="shared" si="88"/>
        <v>465.19639999999998</v>
      </c>
      <c r="I194" s="35">
        <f t="shared" si="81"/>
        <v>3.6387908305645493</v>
      </c>
      <c r="J194" s="1">
        <f>'[3]NATURAL GAS INVENTORY'!$D$46</f>
        <v>4182277</v>
      </c>
      <c r="K194" s="1">
        <f>ROUND('[3]NATURAL GAS INVENTORY'!$D$53/1000,4)</f>
        <v>23726.949499999999</v>
      </c>
      <c r="L194" s="35">
        <f t="shared" si="82"/>
        <v>5.6732132998364291</v>
      </c>
      <c r="M194" s="1">
        <f>'[3]NATURAL GAS INVENTORY'!$D$60</f>
        <v>4182277</v>
      </c>
      <c r="N194" s="12">
        <f>ROUND('[3]NATURAL GAS INVENTORY'!$D$67/1000,4)</f>
        <v>23766.776000000002</v>
      </c>
      <c r="O194" s="35">
        <f t="shared" si="83"/>
        <v>5.6827359832933109</v>
      </c>
      <c r="P194" s="1">
        <v>0</v>
      </c>
      <c r="Q194" s="1">
        <v>0</v>
      </c>
      <c r="R194" s="1">
        <f t="shared" si="84"/>
        <v>0</v>
      </c>
      <c r="S194" s="1">
        <v>0</v>
      </c>
      <c r="T194" s="1">
        <v>0</v>
      </c>
      <c r="U194" s="1">
        <f t="shared" si="85"/>
        <v>0</v>
      </c>
      <c r="V194" s="12">
        <f>'[3]NATURAL GAS INVENTORY'!$D$80</f>
        <v>127843.67710628365</v>
      </c>
      <c r="W194" s="1">
        <f>ROUND('[3]NATURAL GAS INVENTORY'!$D$86/1000,4)</f>
        <v>425.36989999999997</v>
      </c>
      <c r="X194" s="35">
        <f t="shared" si="86"/>
        <v>3.3272658423800343</v>
      </c>
      <c r="Z194" s="38">
        <f t="shared" si="79"/>
        <v>0</v>
      </c>
      <c r="AA194" s="38">
        <f t="shared" si="80"/>
        <v>-2.1032064978498966E-12</v>
      </c>
    </row>
    <row r="195" spans="1:27" s="2" customFormat="1" ht="14.1" customHeight="1" x14ac:dyDescent="0.2">
      <c r="A195" s="11">
        <v>8</v>
      </c>
      <c r="B195" s="20"/>
      <c r="C195" s="20"/>
      <c r="D195" s="8" t="s">
        <v>39</v>
      </c>
      <c r="E195" s="8" t="s">
        <v>36</v>
      </c>
      <c r="F195" s="1"/>
      <c r="G195" s="1">
        <f t="shared" si="87"/>
        <v>127843.67710628365</v>
      </c>
      <c r="H195" s="1">
        <f t="shared" si="88"/>
        <v>425.36989999999997</v>
      </c>
      <c r="I195" s="35">
        <f t="shared" si="81"/>
        <v>3.3272658423800343</v>
      </c>
      <c r="J195" s="1">
        <f>'[3]NATURAL GAS INVENTORY'!$E$46</f>
        <v>4225775</v>
      </c>
      <c r="K195" s="1">
        <f>ROUND('[3]NATURAL GAS INVENTORY'!$E$53/1000,4)</f>
        <v>22785.529600000002</v>
      </c>
      <c r="L195" s="35">
        <f t="shared" si="82"/>
        <v>5.3920356857617833</v>
      </c>
      <c r="M195" s="1">
        <f>'[3]NATURAL GAS INVENTORY'!$E$60</f>
        <v>4225775</v>
      </c>
      <c r="N195" s="12">
        <f>ROUND('[3]NATURAL GAS INVENTORY'!$E$67/1000,4)</f>
        <v>22855.302</v>
      </c>
      <c r="O195" s="35">
        <f t="shared" si="83"/>
        <v>5.4085468346043033</v>
      </c>
      <c r="P195" s="1">
        <v>0</v>
      </c>
      <c r="Q195" s="1">
        <v>0</v>
      </c>
      <c r="R195" s="1">
        <f t="shared" si="84"/>
        <v>0</v>
      </c>
      <c r="S195" s="1">
        <v>0</v>
      </c>
      <c r="T195" s="1">
        <v>0</v>
      </c>
      <c r="U195" s="1">
        <f t="shared" si="85"/>
        <v>0</v>
      </c>
      <c r="V195" s="12">
        <f>'[3]NATURAL GAS INVENTORY'!$E$80</f>
        <v>127843.67710628365</v>
      </c>
      <c r="W195" s="1">
        <f>ROUND('[3]NATURAL GAS INVENTORY'!$E$86/1000,4)</f>
        <v>378.26780000000002</v>
      </c>
      <c r="X195" s="35">
        <f t="shared" si="86"/>
        <v>2.9588307264153917</v>
      </c>
      <c r="Z195" s="38">
        <f t="shared" si="79"/>
        <v>0</v>
      </c>
      <c r="AA195" s="38">
        <f t="shared" si="80"/>
        <v>-22.67029999999653</v>
      </c>
    </row>
    <row r="196" spans="1:27" s="2" customFormat="1" ht="14.1" customHeight="1" x14ac:dyDescent="0.2">
      <c r="A196" s="11">
        <v>9</v>
      </c>
      <c r="B196" s="20"/>
      <c r="C196" s="20"/>
      <c r="D196" s="1" t="s">
        <v>40</v>
      </c>
      <c r="E196" s="8" t="s">
        <v>36</v>
      </c>
      <c r="F196" s="1"/>
      <c r="G196" s="1">
        <f t="shared" si="87"/>
        <v>127843.67710628365</v>
      </c>
      <c r="H196" s="1">
        <f t="shared" si="88"/>
        <v>378.26780000000002</v>
      </c>
      <c r="I196" s="35">
        <f t="shared" si="81"/>
        <v>2.9588307264153917</v>
      </c>
      <c r="J196" s="1">
        <f>'[3]NATURAL GAS INVENTORY'!$F$46</f>
        <v>4516686</v>
      </c>
      <c r="K196" s="1">
        <f>ROUND('[3]NATURAL GAS INVENTORY'!$F$53/1000,4)</f>
        <v>23736.116099999999</v>
      </c>
      <c r="L196" s="35">
        <f t="shared" si="82"/>
        <v>5.2552061622171653</v>
      </c>
      <c r="M196" s="1">
        <f>'[3]NATURAL GAS INVENTORY'!$F$60</f>
        <v>4516686</v>
      </c>
      <c r="N196" s="12">
        <f>ROUND('[3]NATURAL GAS INVENTORY'!$F$67/1000,4)</f>
        <v>23739.039000000001</v>
      </c>
      <c r="O196" s="35">
        <f t="shared" si="83"/>
        <v>5.255853295978512</v>
      </c>
      <c r="P196" s="1">
        <v>0</v>
      </c>
      <c r="Q196" s="1">
        <v>0</v>
      </c>
      <c r="R196" s="1">
        <f t="shared" si="84"/>
        <v>0</v>
      </c>
      <c r="S196" s="1">
        <v>0</v>
      </c>
      <c r="T196" s="1">
        <v>0</v>
      </c>
      <c r="U196" s="1">
        <f t="shared" si="85"/>
        <v>0</v>
      </c>
      <c r="V196" s="12">
        <f>'[3]NATURAL GAS INVENTORY'!$F$80</f>
        <v>127843.67710628365</v>
      </c>
      <c r="W196" s="1">
        <f>ROUND('[3]NATURAL GAS INVENTORY'!$F$86/1000,4)</f>
        <v>375.3449</v>
      </c>
      <c r="X196" s="35">
        <f t="shared" si="86"/>
        <v>2.935967648114147</v>
      </c>
      <c r="Z196" s="38">
        <f t="shared" si="79"/>
        <v>0</v>
      </c>
      <c r="AA196" s="38">
        <f t="shared" si="80"/>
        <v>0</v>
      </c>
    </row>
    <row r="197" spans="1:27" s="2" customFormat="1" ht="14.1" customHeight="1" x14ac:dyDescent="0.2">
      <c r="A197" s="11">
        <v>10</v>
      </c>
      <c r="B197" s="20"/>
      <c r="C197" s="20"/>
      <c r="D197" s="8" t="s">
        <v>41</v>
      </c>
      <c r="E197" s="8" t="s">
        <v>36</v>
      </c>
      <c r="F197" s="1"/>
      <c r="G197" s="1">
        <f t="shared" si="87"/>
        <v>127843.67710628365</v>
      </c>
      <c r="H197" s="1">
        <f t="shared" si="88"/>
        <v>375.3449</v>
      </c>
      <c r="I197" s="35">
        <f t="shared" si="81"/>
        <v>2.935967648114147</v>
      </c>
      <c r="J197" s="1">
        <f>'[3]NATURAL GAS INVENTORY'!$G$46</f>
        <v>4554531</v>
      </c>
      <c r="K197" s="1">
        <f>ROUND('[3]NATURAL GAS INVENTORY'!$G$53/1000,4)</f>
        <v>23741.933199999999</v>
      </c>
      <c r="L197" s="35">
        <f t="shared" si="82"/>
        <v>5.2128162482591511</v>
      </c>
      <c r="M197" s="1">
        <f>'[3]NATURAL GAS INVENTORY'!$G$60</f>
        <v>4554531</v>
      </c>
      <c r="N197" s="12">
        <f>ROUND('[3]NATURAL GAS INVENTORY'!$G$67/1000,4)</f>
        <v>23729.611000000001</v>
      </c>
      <c r="O197" s="35">
        <f t="shared" si="83"/>
        <v>5.2101107666189996</v>
      </c>
      <c r="P197" s="1">
        <v>0</v>
      </c>
      <c r="Q197" s="1">
        <v>0</v>
      </c>
      <c r="R197" s="1">
        <f t="shared" si="84"/>
        <v>0</v>
      </c>
      <c r="S197" s="1">
        <v>0</v>
      </c>
      <c r="T197" s="1">
        <v>0</v>
      </c>
      <c r="U197" s="1">
        <f t="shared" si="85"/>
        <v>0</v>
      </c>
      <c r="V197" s="12">
        <f>'[3]NATURAL GAS INVENTORY'!$G$80</f>
        <v>127843.67710628365</v>
      </c>
      <c r="W197" s="1">
        <f>ROUND('[3]NATURAL GAS INVENTORY'!$G$86/1000,4)</f>
        <v>387.66719999999998</v>
      </c>
      <c r="X197" s="35">
        <f t="shared" si="86"/>
        <v>3.0323533300572261</v>
      </c>
      <c r="Z197" s="38">
        <f t="shared" si="79"/>
        <v>0</v>
      </c>
      <c r="AA197" s="38">
        <f t="shared" si="80"/>
        <v>-1.0000000122545316E-4</v>
      </c>
    </row>
    <row r="198" spans="1:27" s="2" customFormat="1" ht="14.1" customHeight="1" x14ac:dyDescent="0.2">
      <c r="A198" s="11">
        <v>11</v>
      </c>
      <c r="B198" s="36"/>
      <c r="C198" s="20"/>
      <c r="D198" s="1" t="s">
        <v>42</v>
      </c>
      <c r="E198" s="8" t="s">
        <v>36</v>
      </c>
      <c r="F198" s="1"/>
      <c r="G198" s="1">
        <f t="shared" si="87"/>
        <v>127843.67710628365</v>
      </c>
      <c r="H198" s="1">
        <f t="shared" si="88"/>
        <v>387.66719999999998</v>
      </c>
      <c r="I198" s="35">
        <f t="shared" si="81"/>
        <v>3.0323533300572261</v>
      </c>
      <c r="J198" s="1">
        <f>'[3]NATURAL GAS INVENTORY'!$H$46</f>
        <v>4627593</v>
      </c>
      <c r="K198" s="1">
        <f>ROUND('[3]NATURAL GAS INVENTORY'!$H$53/1000,4)</f>
        <v>24739.762999999999</v>
      </c>
      <c r="L198" s="35">
        <f t="shared" si="82"/>
        <v>5.3461406394209687</v>
      </c>
      <c r="M198" s="1">
        <f>'[3]NATURAL GAS INVENTORY'!$H$60</f>
        <v>4627593</v>
      </c>
      <c r="N198" s="12">
        <f>ROUND('[3]NATURAL GAS INVENTORY'!$H$67/1000,4)</f>
        <v>24727.63</v>
      </c>
      <c r="O198" s="35">
        <f t="shared" si="83"/>
        <v>5.3435187580238797</v>
      </c>
      <c r="P198" s="1">
        <v>0</v>
      </c>
      <c r="Q198" s="1">
        <v>0</v>
      </c>
      <c r="R198" s="1">
        <f t="shared" si="84"/>
        <v>0</v>
      </c>
      <c r="S198" s="1">
        <v>0</v>
      </c>
      <c r="T198" s="1">
        <v>0</v>
      </c>
      <c r="U198" s="1">
        <f t="shared" si="85"/>
        <v>0</v>
      </c>
      <c r="V198" s="12">
        <f>'[3]NATURAL GAS INVENTORY'!$H$80</f>
        <v>127843.67710628365</v>
      </c>
      <c r="W198" s="1">
        <f>ROUND('[3]NATURAL GAS INVENTORY'!$H$86/1000,4)</f>
        <v>399.80020000000002</v>
      </c>
      <c r="X198" s="35">
        <f t="shared" si="86"/>
        <v>3.1272582973941181</v>
      </c>
      <c r="Z198" s="38">
        <f t="shared" si="79"/>
        <v>0</v>
      </c>
      <c r="AA198" s="38">
        <f t="shared" si="80"/>
        <v>-2.1600499167107046E-12</v>
      </c>
    </row>
    <row r="199" spans="1:27" s="2" customFormat="1" ht="14.1" customHeight="1" x14ac:dyDescent="0.2">
      <c r="A199" s="11">
        <v>12</v>
      </c>
      <c r="B199" s="20"/>
      <c r="C199" s="20"/>
      <c r="D199" s="8" t="s">
        <v>43</v>
      </c>
      <c r="E199" s="8" t="s">
        <v>36</v>
      </c>
      <c r="F199" s="1"/>
      <c r="G199" s="1">
        <f t="shared" si="87"/>
        <v>127843.67710628365</v>
      </c>
      <c r="H199" s="1">
        <f t="shared" si="88"/>
        <v>399.80020000000002</v>
      </c>
      <c r="I199" s="35">
        <f t="shared" si="81"/>
        <v>3.1272582973941181</v>
      </c>
      <c r="J199" s="1">
        <f>'[3]NATURAL GAS INVENTORY'!$I$46</f>
        <v>4765516</v>
      </c>
      <c r="K199" s="1">
        <f>ROUND('[3]NATURAL GAS INVENTORY'!$I$53/1000,4)</f>
        <v>25458.55</v>
      </c>
      <c r="L199" s="35">
        <f t="shared" si="82"/>
        <v>5.3422441557220663</v>
      </c>
      <c r="M199" s="1">
        <f>'[3]NATURAL GAS INVENTORY'!$I$60</f>
        <v>4765516</v>
      </c>
      <c r="N199" s="12">
        <f>ROUND('[3]NATURAL GAS INVENTORY'!$I$67/1000,4)</f>
        <v>25454.786</v>
      </c>
      <c r="O199" s="35">
        <f t="shared" si="83"/>
        <v>5.3414543147058993</v>
      </c>
      <c r="P199" s="1">
        <v>0</v>
      </c>
      <c r="Q199" s="1">
        <v>0</v>
      </c>
      <c r="R199" s="1">
        <f t="shared" si="84"/>
        <v>0</v>
      </c>
      <c r="S199" s="1">
        <v>0</v>
      </c>
      <c r="T199" s="1">
        <v>0</v>
      </c>
      <c r="U199" s="1">
        <f t="shared" si="85"/>
        <v>0</v>
      </c>
      <c r="V199" s="12">
        <f>'[3]NATURAL GAS INVENTORY'!$I$80</f>
        <v>127843.67710628365</v>
      </c>
      <c r="W199" s="1">
        <f>ROUND('[3]NATURAL GAS INVENTORY'!$I$86/1000,4)</f>
        <v>403.56420000000003</v>
      </c>
      <c r="X199" s="35">
        <f t="shared" si="86"/>
        <v>3.1567005043549736</v>
      </c>
      <c r="Z199" s="38">
        <f t="shared" si="79"/>
        <v>0</v>
      </c>
      <c r="AA199" s="38">
        <f t="shared" si="80"/>
        <v>6.8212102632969618E-13</v>
      </c>
    </row>
    <row r="200" spans="1:27" s="2" customFormat="1" ht="14.1" customHeight="1" x14ac:dyDescent="0.2">
      <c r="A200" s="11">
        <v>13</v>
      </c>
      <c r="B200" s="20"/>
      <c r="C200" s="20"/>
      <c r="D200" s="1" t="s">
        <v>44</v>
      </c>
      <c r="E200" s="8" t="s">
        <v>36</v>
      </c>
      <c r="F200" s="1"/>
      <c r="G200" s="1">
        <f t="shared" si="87"/>
        <v>127843.67710628365</v>
      </c>
      <c r="H200" s="1">
        <f t="shared" si="88"/>
        <v>403.56420000000003</v>
      </c>
      <c r="I200" s="35">
        <f t="shared" si="81"/>
        <v>3.1567005043549736</v>
      </c>
      <c r="J200" s="1">
        <f>'[3]NATURAL GAS INVENTORY'!$J$46</f>
        <v>4611789</v>
      </c>
      <c r="K200" s="1">
        <f>ROUND('[3]NATURAL GAS INVENTORY'!$J$53/1000,4)</f>
        <v>24622.111099999998</v>
      </c>
      <c r="L200" s="35">
        <f t="shared" si="82"/>
        <v>5.3389500473677343</v>
      </c>
      <c r="M200" s="1">
        <f>'[3]NATURAL GAS INVENTORY'!$J$60</f>
        <v>4611789</v>
      </c>
      <c r="N200" s="12">
        <f>ROUND('[3]NATURAL GAS INVENTORY'!$J$67/1000,4)</f>
        <v>24626.611000000001</v>
      </c>
      <c r="O200" s="35">
        <f t="shared" si="83"/>
        <v>5.3399257858501334</v>
      </c>
      <c r="P200" s="1">
        <v>0</v>
      </c>
      <c r="Q200" s="1">
        <v>0</v>
      </c>
      <c r="R200" s="1">
        <f t="shared" si="84"/>
        <v>0</v>
      </c>
      <c r="S200" s="1">
        <v>0</v>
      </c>
      <c r="T200" s="1">
        <v>0</v>
      </c>
      <c r="U200" s="1">
        <f t="shared" si="85"/>
        <v>0</v>
      </c>
      <c r="V200" s="12">
        <f>'[3]NATURAL GAS INVENTORY'!$J$80</f>
        <v>127843.67710628365</v>
      </c>
      <c r="W200" s="1">
        <f>ROUND('[3]NATURAL GAS INVENTORY'!$J$86/1000,4)</f>
        <v>399.06420000000003</v>
      </c>
      <c r="X200" s="35">
        <f t="shared" si="86"/>
        <v>3.1215012664899766</v>
      </c>
      <c r="Z200" s="38">
        <f t="shared" si="79"/>
        <v>0</v>
      </c>
      <c r="AA200" s="38">
        <f t="shared" si="80"/>
        <v>9.9999998155908543E-5</v>
      </c>
    </row>
    <row r="201" spans="1:27" s="2" customFormat="1" ht="14.1" customHeight="1" x14ac:dyDescent="0.2">
      <c r="A201" s="11">
        <v>14</v>
      </c>
      <c r="B201" s="20"/>
      <c r="C201" s="20"/>
      <c r="D201" s="8" t="s">
        <v>45</v>
      </c>
      <c r="E201" s="8" t="s">
        <v>36</v>
      </c>
      <c r="F201" s="1"/>
      <c r="G201" s="1">
        <f t="shared" si="87"/>
        <v>127843.67710628365</v>
      </c>
      <c r="H201" s="1">
        <f t="shared" si="88"/>
        <v>399.06420000000003</v>
      </c>
      <c r="I201" s="35">
        <f t="shared" si="81"/>
        <v>3.1215012664899766</v>
      </c>
      <c r="J201" s="1">
        <f>'[3]NATURAL GAS INVENTORY'!$K$46</f>
        <v>4205794</v>
      </c>
      <c r="K201" s="1">
        <f>ROUND('[3]NATURAL GAS INVENTORY'!$K$53/1000,4)</f>
        <v>23076.153600000001</v>
      </c>
      <c r="L201" s="35">
        <f t="shared" si="82"/>
        <v>5.4867531790667829</v>
      </c>
      <c r="M201" s="1">
        <f>'[3]NATURAL GAS INVENTORY'!$K$60</f>
        <v>4205794</v>
      </c>
      <c r="N201" s="12">
        <f>ROUND('[3]NATURAL GAS INVENTORY'!$K$67/1000,4)</f>
        <v>23068.899000000001</v>
      </c>
      <c r="O201" s="35">
        <f t="shared" si="83"/>
        <v>5.4850282729016211</v>
      </c>
      <c r="P201" s="1">
        <v>0</v>
      </c>
      <c r="Q201" s="1">
        <v>0</v>
      </c>
      <c r="R201" s="1">
        <f t="shared" si="84"/>
        <v>0</v>
      </c>
      <c r="S201" s="1">
        <v>0</v>
      </c>
      <c r="T201" s="1">
        <v>0</v>
      </c>
      <c r="U201" s="1">
        <f t="shared" si="85"/>
        <v>0</v>
      </c>
      <c r="V201" s="12">
        <f>'[3]NATURAL GAS INVENTORY'!$K$80</f>
        <v>127843.67710628365</v>
      </c>
      <c r="W201" s="1">
        <f>ROUND('[3]NATURAL GAS INVENTORY'!$K$86/1000,4)</f>
        <v>406.31880000000001</v>
      </c>
      <c r="X201" s="35">
        <f t="shared" si="86"/>
        <v>3.1782471311600675</v>
      </c>
      <c r="Z201" s="38">
        <f t="shared" si="79"/>
        <v>0</v>
      </c>
      <c r="AA201" s="38">
        <f t="shared" si="80"/>
        <v>9.0949470177292824E-13</v>
      </c>
    </row>
    <row r="202" spans="1:27" s="2" customFormat="1" ht="14.1" customHeight="1" x14ac:dyDescent="0.2">
      <c r="A202" s="11">
        <v>15</v>
      </c>
      <c r="B202" s="20"/>
      <c r="C202" s="20"/>
      <c r="D202" s="1" t="s">
        <v>46</v>
      </c>
      <c r="E202" s="8" t="s">
        <v>36</v>
      </c>
      <c r="F202" s="1"/>
      <c r="G202" s="1">
        <f t="shared" si="87"/>
        <v>127843.67710628365</v>
      </c>
      <c r="H202" s="1">
        <f t="shared" si="88"/>
        <v>406.31880000000001</v>
      </c>
      <c r="I202" s="35">
        <f t="shared" si="81"/>
        <v>3.1782471311600675</v>
      </c>
      <c r="J202" s="1">
        <f>'[3]NATURAL GAS INVENTORY'!$L$46</f>
        <v>3840579</v>
      </c>
      <c r="K202" s="1">
        <f>ROUND('[3]NATURAL GAS INVENTORY'!$L$53/1000,4)</f>
        <v>21895.894400000001</v>
      </c>
      <c r="L202" s="35">
        <f t="shared" si="82"/>
        <v>5.7011961998438263</v>
      </c>
      <c r="M202" s="1">
        <f>'[3]NATURAL GAS INVENTORY'!$L$60</f>
        <v>3840579</v>
      </c>
      <c r="N202" s="12">
        <f>ROUND('[3]NATURAL GAS INVENTORY'!$L$67/1000,4)</f>
        <v>21862.986000000001</v>
      </c>
      <c r="O202" s="35">
        <f t="shared" si="83"/>
        <v>5.6926275959952912</v>
      </c>
      <c r="P202" s="1">
        <v>0</v>
      </c>
      <c r="Q202" s="1">
        <v>0</v>
      </c>
      <c r="R202" s="1">
        <f t="shared" si="84"/>
        <v>0</v>
      </c>
      <c r="S202" s="1">
        <v>0</v>
      </c>
      <c r="T202" s="1">
        <v>0</v>
      </c>
      <c r="U202" s="1">
        <f t="shared" si="85"/>
        <v>0</v>
      </c>
      <c r="V202" s="12">
        <f>'[3]NATURAL GAS INVENTORY'!$L$80</f>
        <v>127843.67710628365</v>
      </c>
      <c r="W202" s="1">
        <f>ROUND('[3]NATURAL GAS INVENTORY'!$L$86/1000,4)</f>
        <v>439.22719999999998</v>
      </c>
      <c r="X202" s="35">
        <f t="shared" si="86"/>
        <v>3.4356583754615073</v>
      </c>
      <c r="Z202" s="38">
        <f t="shared" si="79"/>
        <v>0</v>
      </c>
      <c r="AA202" s="38">
        <f t="shared" si="80"/>
        <v>1.1937117960769683E-12</v>
      </c>
    </row>
    <row r="203" spans="1:27" s="2" customFormat="1" ht="14.1" customHeight="1" x14ac:dyDescent="0.2">
      <c r="A203" s="11">
        <v>16</v>
      </c>
      <c r="B203" s="20"/>
      <c r="C203" s="20"/>
      <c r="D203" s="8" t="s">
        <v>33</v>
      </c>
      <c r="E203" s="8" t="s">
        <v>36</v>
      </c>
      <c r="F203" s="1"/>
      <c r="G203" s="1">
        <f t="shared" si="87"/>
        <v>127843.67710628365</v>
      </c>
      <c r="H203" s="1">
        <f t="shared" si="88"/>
        <v>439.22719999999998</v>
      </c>
      <c r="I203" s="35">
        <f t="shared" si="81"/>
        <v>3.4356583754615073</v>
      </c>
      <c r="J203" s="1">
        <f>'[3]NATURAL GAS INVENTORY'!$M$46</f>
        <v>4988378</v>
      </c>
      <c r="K203" s="1">
        <f>ROUND('[3]NATURAL GAS INVENTORY'!$M$53/1000,4)</f>
        <v>30885.548999999999</v>
      </c>
      <c r="L203" s="35">
        <f t="shared" si="82"/>
        <v>6.191501325681414</v>
      </c>
      <c r="M203" s="1">
        <f>'[3]NATURAL GAS INVENTORY'!$M$60</f>
        <v>4988378</v>
      </c>
      <c r="N203" s="12">
        <f>ROUND('[3]NATURAL GAS INVENTORY'!$M$67/1000,4)</f>
        <v>30848.393</v>
      </c>
      <c r="O203" s="35">
        <f t="shared" si="83"/>
        <v>6.1840528123570424</v>
      </c>
      <c r="P203" s="30">
        <v>0</v>
      </c>
      <c r="Q203" s="30">
        <v>0</v>
      </c>
      <c r="R203" s="30">
        <f t="shared" si="84"/>
        <v>0</v>
      </c>
      <c r="S203" s="30">
        <v>0</v>
      </c>
      <c r="T203" s="30">
        <v>0</v>
      </c>
      <c r="U203" s="30">
        <f t="shared" si="85"/>
        <v>0</v>
      </c>
      <c r="V203" s="12">
        <f>'[3]NATURAL GAS INVENTORY'!$M$80</f>
        <v>127843.67710628365</v>
      </c>
      <c r="W203" s="1">
        <f>ROUND('[3]NATURAL GAS INVENTORY'!$M$86/1000,4)</f>
        <v>476.38319999999999</v>
      </c>
      <c r="X203" s="35">
        <f t="shared" si="86"/>
        <v>3.7262945714863616</v>
      </c>
      <c r="Z203" s="38">
        <f t="shared" si="79"/>
        <v>0</v>
      </c>
      <c r="AA203" s="38">
        <f t="shared" si="80"/>
        <v>0</v>
      </c>
    </row>
    <row r="204" spans="1:27" ht="14.1" customHeight="1" thickBot="1" x14ac:dyDescent="0.25">
      <c r="A204" s="11">
        <v>17</v>
      </c>
      <c r="C204" s="58" t="s">
        <v>47</v>
      </c>
      <c r="D204" s="1"/>
      <c r="E204" s="1"/>
      <c r="F204" s="35"/>
      <c r="G204" s="1"/>
      <c r="H204" s="1"/>
      <c r="I204" s="35"/>
      <c r="J204" s="22">
        <f>SUM(J192:J203)</f>
        <v>52831853.291739449</v>
      </c>
      <c r="K204" s="23">
        <f>SUM(K192:K203)</f>
        <v>295686.53120000003</v>
      </c>
      <c r="L204" s="24">
        <f>IF(K204&gt;0,ROUND((K204*1000)/J204,2),4)</f>
        <v>5.6</v>
      </c>
      <c r="M204" s="22">
        <f>SUM(M192:M203)</f>
        <v>52812638</v>
      </c>
      <c r="N204" s="23">
        <f>SUM(N192:N203)</f>
        <v>295705.62899999996</v>
      </c>
      <c r="O204" s="24">
        <f>IF(N204&gt;0,ROUND((N204*1000)/M204,2),4)</f>
        <v>5.6</v>
      </c>
      <c r="P204" s="22">
        <f>SUM(P192:P203)</f>
        <v>0</v>
      </c>
      <c r="Q204" s="23">
        <f>SUM(Q192:Q203)</f>
        <v>0</v>
      </c>
      <c r="R204" s="24">
        <v>0</v>
      </c>
      <c r="S204" s="22">
        <f>SUM(S191:S203)</f>
        <v>0</v>
      </c>
      <c r="T204" s="23">
        <v>0</v>
      </c>
      <c r="U204" s="24">
        <v>0</v>
      </c>
      <c r="V204" s="12"/>
      <c r="W204" s="28"/>
      <c r="X204" s="19"/>
    </row>
    <row r="205" spans="1:27" ht="14.1" customHeight="1" thickTop="1" x14ac:dyDescent="0.2">
      <c r="A205" s="11">
        <v>18</v>
      </c>
      <c r="D205" s="1"/>
      <c r="E205" s="1"/>
      <c r="F205" s="35"/>
      <c r="G205" s="1"/>
      <c r="H205" s="12"/>
      <c r="I205" s="59"/>
      <c r="J205" s="12"/>
      <c r="K205" s="12"/>
      <c r="L205" s="59"/>
      <c r="M205" s="12"/>
      <c r="N205" s="12"/>
      <c r="O205" s="59"/>
      <c r="P205" s="12"/>
      <c r="Q205" s="12"/>
      <c r="R205" s="59"/>
      <c r="S205" s="12"/>
      <c r="T205" s="12"/>
      <c r="U205" s="59"/>
      <c r="V205" s="12"/>
      <c r="W205" s="12"/>
      <c r="X205" s="59"/>
    </row>
    <row r="206" spans="1:27" ht="14.1" customHeight="1" thickBot="1" x14ac:dyDescent="0.25">
      <c r="A206" s="11">
        <v>19</v>
      </c>
      <c r="B206" s="52"/>
      <c r="C206" s="58" t="s">
        <v>48</v>
      </c>
      <c r="D206" s="1"/>
      <c r="E206" s="1"/>
      <c r="F206" s="35"/>
      <c r="G206" s="25">
        <f>AVERAGE(G191:G203)</f>
        <v>124887.4783771372</v>
      </c>
      <c r="H206" s="26">
        <f>AVERAGE(H191:H203)</f>
        <v>419.40405743275556</v>
      </c>
      <c r="I206" s="27">
        <v>0</v>
      </c>
      <c r="J206" s="25">
        <f>AVERAGE(J191:J203)</f>
        <v>4412485.7147491882</v>
      </c>
      <c r="K206" s="26">
        <f>AVERAGE(K191:K203)</f>
        <v>24857.991588103425</v>
      </c>
      <c r="L206" s="27">
        <v>0</v>
      </c>
      <c r="M206" s="25">
        <f>AVERAGE(M191:M203)</f>
        <v>4411007.615384615</v>
      </c>
      <c r="N206" s="26">
        <f>AVERAGE(N191:N203)</f>
        <v>24855.713692307687</v>
      </c>
      <c r="O206" s="27">
        <v>0</v>
      </c>
      <c r="P206" s="25">
        <f>AVERAGE(P191:P203)</f>
        <v>0</v>
      </c>
      <c r="Q206" s="26">
        <f>AVERAGE(Q191:Q203)</f>
        <v>0</v>
      </c>
      <c r="R206" s="27">
        <v>0</v>
      </c>
      <c r="S206" s="25">
        <f>AVERAGE(S191:S203)</f>
        <v>0</v>
      </c>
      <c r="T206" s="26">
        <f>AVERAGE(T191:T203)</f>
        <v>0</v>
      </c>
      <c r="U206" s="27">
        <v>0</v>
      </c>
      <c r="V206" s="25">
        <f>AVERAGE(V191:V203)</f>
        <v>126365.57774171041</v>
      </c>
      <c r="W206" s="26">
        <f>AVERAGE(W191:W203)</f>
        <v>423.42582276809037</v>
      </c>
      <c r="X206" s="27">
        <v>0</v>
      </c>
    </row>
    <row r="207" spans="1:27" ht="14.1" customHeight="1" thickTop="1" x14ac:dyDescent="0.2">
      <c r="A207" s="11">
        <v>20</v>
      </c>
      <c r="D207" s="3"/>
      <c r="F207" s="4"/>
      <c r="G207" s="4"/>
      <c r="H207" s="4"/>
      <c r="I207" s="4"/>
      <c r="J207" s="2"/>
      <c r="K207" s="4"/>
      <c r="L207" s="2"/>
      <c r="M207" s="4"/>
      <c r="N207" s="4"/>
      <c r="O207" s="4"/>
      <c r="P207" s="4"/>
      <c r="Q207" s="4"/>
      <c r="R207" s="4"/>
      <c r="S207" s="4"/>
      <c r="V207" s="2"/>
      <c r="W207" s="2"/>
    </row>
    <row r="208" spans="1:27" ht="16.5" customHeight="1" thickBot="1" x14ac:dyDescent="0.5">
      <c r="A208" s="11">
        <v>21</v>
      </c>
      <c r="B208" s="52" t="s">
        <v>69</v>
      </c>
      <c r="C208" s="73"/>
      <c r="D208" s="3"/>
      <c r="F208" s="4"/>
      <c r="G208" s="4"/>
      <c r="H208" s="4"/>
      <c r="I208" s="4"/>
      <c r="J208" s="2"/>
      <c r="K208" s="4"/>
      <c r="L208" s="2"/>
      <c r="M208" s="4"/>
      <c r="N208" s="4"/>
      <c r="O208" s="4"/>
      <c r="P208" s="4"/>
      <c r="Q208" s="4"/>
      <c r="R208" s="4"/>
      <c r="S208" s="4"/>
      <c r="V208" s="2"/>
      <c r="W208" s="23">
        <f>W203+W169+W149+W115+W81+W61+W27</f>
        <v>36043.724000000002</v>
      </c>
      <c r="AA208" s="71"/>
    </row>
    <row r="209" spans="1:24" ht="14.1" customHeight="1" thickTop="1" x14ac:dyDescent="0.2">
      <c r="A209" s="11">
        <v>22</v>
      </c>
      <c r="B209" s="58" t="s">
        <v>49</v>
      </c>
      <c r="C209" s="58" t="s">
        <v>67</v>
      </c>
      <c r="D209" s="7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pans="1:24" ht="14.1" customHeight="1" x14ac:dyDescent="0.2">
      <c r="A210" s="11">
        <v>23</v>
      </c>
      <c r="B210" s="62"/>
      <c r="D210" s="7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pans="1:24" ht="14.1" customHeight="1" thickBot="1" x14ac:dyDescent="0.25">
      <c r="A211" s="34">
        <v>24</v>
      </c>
      <c r="B211" s="60" t="s">
        <v>59</v>
      </c>
      <c r="C211" s="34"/>
      <c r="D211" s="5"/>
      <c r="E211" s="34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34"/>
      <c r="U211" s="34"/>
      <c r="V211" s="34"/>
      <c r="W211" s="34"/>
      <c r="X211" s="34"/>
    </row>
    <row r="212" spans="1:24" ht="14.1" customHeight="1" x14ac:dyDescent="0.2">
      <c r="A212" s="11" t="s">
        <v>52</v>
      </c>
      <c r="S212" s="4"/>
      <c r="V212" s="11" t="s">
        <v>53</v>
      </c>
    </row>
    <row r="216" spans="1:24" ht="14.1" customHeight="1" x14ac:dyDescent="0.2">
      <c r="S216" s="11"/>
      <c r="T216" s="2"/>
    </row>
    <row r="217" spans="1:24" ht="14.1" customHeight="1" x14ac:dyDescent="0.2">
      <c r="S217" s="11"/>
      <c r="T217" s="2"/>
    </row>
    <row r="218" spans="1:24" ht="14.1" customHeight="1" x14ac:dyDescent="0.2">
      <c r="H218" s="76" t="s">
        <v>70</v>
      </c>
      <c r="O218" s="78" t="s">
        <v>71</v>
      </c>
      <c r="S218" s="11"/>
      <c r="T218" s="2"/>
      <c r="U218" s="76" t="s">
        <v>72</v>
      </c>
    </row>
    <row r="219" spans="1:24" ht="14.1" customHeight="1" x14ac:dyDescent="0.2">
      <c r="H219" s="76"/>
      <c r="O219" s="78"/>
      <c r="S219" s="11"/>
      <c r="T219" s="2"/>
      <c r="U219" s="76"/>
    </row>
    <row r="220" spans="1:24" ht="14.1" customHeight="1" x14ac:dyDescent="0.2">
      <c r="E220" s="11" t="s">
        <v>73</v>
      </c>
      <c r="F220" s="72" t="s">
        <v>74</v>
      </c>
      <c r="G220" s="72" t="s">
        <v>75</v>
      </c>
      <c r="H220" s="76"/>
      <c r="I220" s="11" t="s">
        <v>76</v>
      </c>
      <c r="L220" s="11" t="s">
        <v>77</v>
      </c>
      <c r="M220" s="11" t="s">
        <v>74</v>
      </c>
      <c r="N220" s="72" t="s">
        <v>75</v>
      </c>
      <c r="O220" s="78"/>
      <c r="P220" s="11" t="s">
        <v>76</v>
      </c>
      <c r="R220" s="11" t="s">
        <v>78</v>
      </c>
      <c r="S220" s="11" t="s">
        <v>74</v>
      </c>
      <c r="T220" s="72" t="s">
        <v>75</v>
      </c>
      <c r="U220" s="76"/>
      <c r="V220" s="11" t="s">
        <v>76</v>
      </c>
    </row>
    <row r="221" spans="1:24" ht="14.1" customHeight="1" x14ac:dyDescent="0.2">
      <c r="E221" s="8" t="s">
        <v>33</v>
      </c>
      <c r="F221" s="8" t="s">
        <v>34</v>
      </c>
      <c r="G221" s="57">
        <f>'[4]SYSTEM INVENTORY'!$O$6</f>
        <v>29309.29849981088</v>
      </c>
      <c r="H221" s="62">
        <f t="shared" ref="H221:H233" si="89">W49+W69+W103</f>
        <v>29309.298500000001</v>
      </c>
      <c r="I221" s="62">
        <f>G221-H221</f>
        <v>-1.891203282866627E-7</v>
      </c>
      <c r="L221" s="8" t="s">
        <v>33</v>
      </c>
      <c r="M221" s="8" t="s">
        <v>34</v>
      </c>
      <c r="N221" s="57">
        <f>+'[2]MFRB-18'!$M$233</f>
        <v>5058.6099999999997</v>
      </c>
      <c r="O221" s="62">
        <f>+W15</f>
        <v>5058.6101140907194</v>
      </c>
      <c r="P221" s="62">
        <f>N221-O221</f>
        <v>-1.1409071976231644E-4</v>
      </c>
      <c r="R221" s="8" t="s">
        <v>33</v>
      </c>
      <c r="S221" s="8" t="s">
        <v>34</v>
      </c>
      <c r="T221" s="57">
        <f>'[4]SYSTEM INVENTORY'!$O$8</f>
        <v>1016.1609999999999</v>
      </c>
      <c r="U221" s="62">
        <f t="shared" ref="U221:U233" si="90">W191+W157+W137</f>
        <v>1016.1599620541497</v>
      </c>
      <c r="V221" s="62">
        <f>T221-U221</f>
        <v>1.0379458502711714E-3</v>
      </c>
      <c r="X221" s="62">
        <f>U221+O221+H221</f>
        <v>35384.068576144869</v>
      </c>
    </row>
    <row r="222" spans="1:24" ht="14.1" customHeight="1" x14ac:dyDescent="0.2">
      <c r="E222" s="1" t="s">
        <v>35</v>
      </c>
      <c r="F222" s="8" t="s">
        <v>36</v>
      </c>
      <c r="G222" s="57">
        <f>'[3]SYSTEM INVENTORY'!$D$6</f>
        <v>30583.989874810879</v>
      </c>
      <c r="H222" s="62">
        <f t="shared" si="89"/>
        <v>30583.9899</v>
      </c>
      <c r="I222" s="62">
        <f t="shared" ref="I222:I233" si="91">G222-H222</f>
        <v>-2.5189121515722945E-5</v>
      </c>
      <c r="L222" s="1" t="s">
        <v>35</v>
      </c>
      <c r="M222" s="8" t="s">
        <v>36</v>
      </c>
      <c r="N222" s="57">
        <f>'[3]SYSTEM INVENTORY'!$D$7</f>
        <v>4992.085</v>
      </c>
      <c r="O222" s="62">
        <f t="shared" ref="O222:O233" si="92">+W16</f>
        <v>4992.0848999999998</v>
      </c>
      <c r="P222" s="62">
        <f t="shared" ref="P222:P233" si="93">N222-O222</f>
        <v>1.0000000020227162E-4</v>
      </c>
      <c r="R222" s="1" t="s">
        <v>35</v>
      </c>
      <c r="S222" s="8" t="s">
        <v>36</v>
      </c>
      <c r="T222" s="57">
        <f>'[3]SYSTEM INVENTORY'!$D$8</f>
        <v>1085.913</v>
      </c>
      <c r="U222" s="62">
        <f t="shared" si="90"/>
        <v>1085.913</v>
      </c>
      <c r="V222" s="62">
        <f>T222-U222</f>
        <v>0</v>
      </c>
      <c r="X222" s="62">
        <f t="shared" ref="X222:X232" si="94">U222+O222+H222</f>
        <v>36661.987800000003</v>
      </c>
    </row>
    <row r="223" spans="1:24" ht="14.1" customHeight="1" x14ac:dyDescent="0.2">
      <c r="E223" s="8" t="s">
        <v>37</v>
      </c>
      <c r="F223" s="8" t="s">
        <v>36</v>
      </c>
      <c r="G223" s="57">
        <f>'[3]SYSTEM INVENTORY'!$E$6</f>
        <v>31809.054119236785</v>
      </c>
      <c r="H223" s="62">
        <f t="shared" si="89"/>
        <v>31809.054100000001</v>
      </c>
      <c r="I223" s="62">
        <f t="shared" si="91"/>
        <v>1.9236784282838926E-5</v>
      </c>
      <c r="L223" s="8" t="s">
        <v>37</v>
      </c>
      <c r="M223" s="8" t="s">
        <v>36</v>
      </c>
      <c r="N223" s="57">
        <f>'[3]SYSTEM INVENTORY'!$E$7</f>
        <v>4925.5600000000004</v>
      </c>
      <c r="O223" s="62">
        <f t="shared" si="92"/>
        <v>4925.5595999999996</v>
      </c>
      <c r="P223" s="62">
        <f t="shared" si="93"/>
        <v>4.0000000080908649E-4</v>
      </c>
      <c r="R223" s="8" t="s">
        <v>37</v>
      </c>
      <c r="S223" s="8" t="s">
        <v>36</v>
      </c>
      <c r="T223" s="57">
        <f>'[3]SYSTEM INVENTORY'!$E$8</f>
        <v>1062.335</v>
      </c>
      <c r="U223" s="62">
        <f t="shared" si="90"/>
        <v>1062.3353999999999</v>
      </c>
      <c r="V223" s="62">
        <f t="shared" ref="V223:V233" si="95">T223-U223</f>
        <v>-3.9999999989959178E-4</v>
      </c>
      <c r="X223" s="62">
        <f t="shared" si="94"/>
        <v>37796.949099999998</v>
      </c>
    </row>
    <row r="224" spans="1:24" ht="14.1" customHeight="1" x14ac:dyDescent="0.2">
      <c r="E224" s="1" t="s">
        <v>38</v>
      </c>
      <c r="F224" s="8" t="s">
        <v>36</v>
      </c>
      <c r="G224" s="57">
        <f>'[3]SYSTEM INVENTORY'!$F$6</f>
        <v>31809.054119236785</v>
      </c>
      <c r="H224" s="62">
        <f t="shared" si="89"/>
        <v>31809.054100000001</v>
      </c>
      <c r="I224" s="62">
        <f t="shared" si="91"/>
        <v>1.9236784282838926E-5</v>
      </c>
      <c r="L224" s="1" t="s">
        <v>38</v>
      </c>
      <c r="M224" s="8" t="s">
        <v>36</v>
      </c>
      <c r="N224" s="57">
        <f>'[3]SYSTEM INVENTORY'!$F$7</f>
        <v>5373.5190000000002</v>
      </c>
      <c r="O224" s="62">
        <f t="shared" si="92"/>
        <v>5373.5187999999998</v>
      </c>
      <c r="P224" s="62">
        <f t="shared" si="93"/>
        <v>2.0000000040454324E-4</v>
      </c>
      <c r="R224" s="1" t="s">
        <v>38</v>
      </c>
      <c r="S224" s="8" t="s">
        <v>36</v>
      </c>
      <c r="T224" s="57">
        <f>'[3]SYSTEM INVENTORY'!$F$8</f>
        <v>971.38699999999994</v>
      </c>
      <c r="U224" s="62">
        <f t="shared" si="90"/>
        <v>971.38640000000009</v>
      </c>
      <c r="V224" s="62">
        <f t="shared" si="95"/>
        <v>5.9999999984938768E-4</v>
      </c>
      <c r="X224" s="62">
        <f t="shared" si="94"/>
        <v>38153.959300000002</v>
      </c>
    </row>
    <row r="225" spans="5:24" ht="14.1" customHeight="1" x14ac:dyDescent="0.2">
      <c r="E225" s="8" t="s">
        <v>39</v>
      </c>
      <c r="F225" s="8" t="s">
        <v>36</v>
      </c>
      <c r="G225" s="57">
        <f>'[3]SYSTEM INVENTORY'!$G$6</f>
        <v>31809.054119236785</v>
      </c>
      <c r="H225" s="62">
        <f t="shared" si="89"/>
        <v>31809.054100000001</v>
      </c>
      <c r="I225" s="62">
        <f t="shared" si="91"/>
        <v>1.9236784282838926E-5</v>
      </c>
      <c r="L225" s="8" t="s">
        <v>39</v>
      </c>
      <c r="M225" s="8" t="s">
        <v>36</v>
      </c>
      <c r="N225" s="57">
        <f>'[3]SYSTEM INVENTORY'!$G$7</f>
        <v>5373.5190000000002</v>
      </c>
      <c r="O225" s="62">
        <f t="shared" si="92"/>
        <v>5373.5187999999998</v>
      </c>
      <c r="P225" s="62">
        <f t="shared" si="93"/>
        <v>2.0000000040454324E-4</v>
      </c>
      <c r="R225" s="8" t="s">
        <v>39</v>
      </c>
      <c r="S225" s="8" t="s">
        <v>36</v>
      </c>
      <c r="T225" s="57">
        <f>'[3]SYSTEM INVENTORY'!$G$8</f>
        <v>863.82299999999998</v>
      </c>
      <c r="U225" s="62">
        <f t="shared" si="90"/>
        <v>863.82280000000003</v>
      </c>
      <c r="V225" s="62">
        <f t="shared" si="95"/>
        <v>1.9999999994979589E-4</v>
      </c>
      <c r="X225" s="62">
        <f t="shared" si="94"/>
        <v>38046.395700000001</v>
      </c>
    </row>
    <row r="226" spans="5:24" ht="14.1" customHeight="1" x14ac:dyDescent="0.2">
      <c r="E226" s="1" t="s">
        <v>40</v>
      </c>
      <c r="F226" s="8" t="s">
        <v>36</v>
      </c>
      <c r="G226" s="57">
        <f>'[3]SYSTEM INVENTORY'!$H$6</f>
        <v>31809.054119236785</v>
      </c>
      <c r="H226" s="62">
        <f t="shared" si="89"/>
        <v>31809.054100000001</v>
      </c>
      <c r="I226" s="62">
        <f t="shared" si="91"/>
        <v>1.9236784282838926E-5</v>
      </c>
      <c r="L226" s="1" t="s">
        <v>40</v>
      </c>
      <c r="M226" s="8" t="s">
        <v>36</v>
      </c>
      <c r="N226" s="57">
        <f>'[3]SYSTEM INVENTORY'!$H$7</f>
        <v>5308.4359999999997</v>
      </c>
      <c r="O226" s="62">
        <f t="shared" si="92"/>
        <v>5308.4359999999997</v>
      </c>
      <c r="P226" s="62">
        <f t="shared" si="93"/>
        <v>0</v>
      </c>
      <c r="R226" s="1" t="s">
        <v>40</v>
      </c>
      <c r="S226" s="8" t="s">
        <v>36</v>
      </c>
      <c r="T226" s="57">
        <f>'[3]SYSTEM INVENTORY'!$H$8</f>
        <v>857.149</v>
      </c>
      <c r="U226" s="62">
        <f t="shared" si="90"/>
        <v>857.14800000000002</v>
      </c>
      <c r="V226" s="62">
        <f t="shared" si="95"/>
        <v>9.9999999997635314E-4</v>
      </c>
      <c r="X226" s="62">
        <f t="shared" si="94"/>
        <v>37974.638100000004</v>
      </c>
    </row>
    <row r="227" spans="5:24" ht="14.1" customHeight="1" x14ac:dyDescent="0.2">
      <c r="E227" s="8" t="s">
        <v>41</v>
      </c>
      <c r="F227" s="8" t="s">
        <v>36</v>
      </c>
      <c r="G227" s="57">
        <f>'[3]SYSTEM INVENTORY'!$I$6</f>
        <v>31809.054119236785</v>
      </c>
      <c r="H227" s="62">
        <f t="shared" si="89"/>
        <v>31809.054100000001</v>
      </c>
      <c r="I227" s="62">
        <f t="shared" si="91"/>
        <v>1.9236784282838926E-5</v>
      </c>
      <c r="L227" s="8" t="s">
        <v>41</v>
      </c>
      <c r="M227" s="8" t="s">
        <v>36</v>
      </c>
      <c r="N227" s="57">
        <f>'[3]SYSTEM INVENTORY'!$I$7</f>
        <v>5243.3530000000001</v>
      </c>
      <c r="O227" s="62">
        <f t="shared" si="92"/>
        <v>5243.3532999999998</v>
      </c>
      <c r="P227" s="62">
        <f t="shared" si="93"/>
        <v>-2.9999999969732016E-4</v>
      </c>
      <c r="R227" s="8" t="s">
        <v>41</v>
      </c>
      <c r="S227" s="8" t="s">
        <v>36</v>
      </c>
      <c r="T227" s="57">
        <f>'[3]SYSTEM INVENTORY'!$I$8</f>
        <v>885.28700000000003</v>
      </c>
      <c r="U227" s="62">
        <f t="shared" si="90"/>
        <v>885.28749999999991</v>
      </c>
      <c r="V227" s="62">
        <f t="shared" si="95"/>
        <v>-4.9999999987448973E-4</v>
      </c>
      <c r="X227" s="62">
        <f t="shared" si="94"/>
        <v>37937.694900000002</v>
      </c>
    </row>
    <row r="228" spans="5:24" ht="14.1" customHeight="1" x14ac:dyDescent="0.2">
      <c r="E228" s="1" t="s">
        <v>42</v>
      </c>
      <c r="F228" s="8" t="s">
        <v>36</v>
      </c>
      <c r="G228" s="57">
        <f>'[3]SYSTEM INVENTORY'!$J$6</f>
        <v>29416.235835932643</v>
      </c>
      <c r="H228" s="62">
        <f t="shared" si="89"/>
        <v>29416.235799999999</v>
      </c>
      <c r="I228" s="62">
        <f t="shared" si="91"/>
        <v>3.5932644095737487E-5</v>
      </c>
      <c r="L228" s="1" t="s">
        <v>42</v>
      </c>
      <c r="M228" s="8" t="s">
        <v>36</v>
      </c>
      <c r="N228" s="57">
        <f>'[3]SYSTEM INVENTORY'!$J$7</f>
        <v>5178.2709999999997</v>
      </c>
      <c r="O228" s="62">
        <f t="shared" si="92"/>
        <v>5178.2705999999998</v>
      </c>
      <c r="P228" s="62">
        <f t="shared" si="93"/>
        <v>3.9999999989959178E-4</v>
      </c>
      <c r="R228" s="1" t="s">
        <v>42</v>
      </c>
      <c r="S228" s="8" t="s">
        <v>36</v>
      </c>
      <c r="T228" s="57">
        <f>'[3]SYSTEM INVENTORY'!$J$8</f>
        <v>912.995</v>
      </c>
      <c r="U228" s="62">
        <f t="shared" si="90"/>
        <v>912.99479999999994</v>
      </c>
      <c r="V228" s="62">
        <f t="shared" si="95"/>
        <v>2.0000000006348273E-4</v>
      </c>
      <c r="X228" s="62">
        <f t="shared" si="94"/>
        <v>35507.501199999999</v>
      </c>
    </row>
    <row r="229" spans="5:24" ht="14.1" customHeight="1" x14ac:dyDescent="0.2">
      <c r="E229" s="8" t="s">
        <v>43</v>
      </c>
      <c r="F229" s="8" t="s">
        <v>36</v>
      </c>
      <c r="G229" s="57">
        <f>'[3]SYSTEM INVENTORY'!$K$6</f>
        <v>29402.861397309771</v>
      </c>
      <c r="H229" s="62">
        <f t="shared" si="89"/>
        <v>29402.861400000002</v>
      </c>
      <c r="I229" s="62">
        <f t="shared" si="91"/>
        <v>-2.6902307581622154E-6</v>
      </c>
      <c r="L229" s="8" t="s">
        <v>43</v>
      </c>
      <c r="M229" s="8" t="s">
        <v>36</v>
      </c>
      <c r="N229" s="57">
        <f>'[3]SYSTEM INVENTORY'!$K$7</f>
        <v>5113.1880000000001</v>
      </c>
      <c r="O229" s="62">
        <f t="shared" si="92"/>
        <v>5113.1878999999999</v>
      </c>
      <c r="P229" s="62">
        <f t="shared" si="93"/>
        <v>1.0000000020227162E-4</v>
      </c>
      <c r="R229" s="8" t="s">
        <v>43</v>
      </c>
      <c r="S229" s="8" t="s">
        <v>36</v>
      </c>
      <c r="T229" s="57">
        <f>'[3]SYSTEM INVENTORY'!$K$8</f>
        <v>921.59</v>
      </c>
      <c r="U229" s="62">
        <f t="shared" si="90"/>
        <v>921.59030000000007</v>
      </c>
      <c r="V229" s="62">
        <f t="shared" si="95"/>
        <v>-3.0000000003838068E-4</v>
      </c>
      <c r="X229" s="62">
        <f t="shared" si="94"/>
        <v>35437.639600000002</v>
      </c>
    </row>
    <row r="230" spans="5:24" ht="14.1" customHeight="1" x14ac:dyDescent="0.2">
      <c r="E230" s="1" t="s">
        <v>44</v>
      </c>
      <c r="F230" s="8" t="s">
        <v>36</v>
      </c>
      <c r="G230" s="57">
        <f>'[3]SYSTEM INVENTORY'!$L$6</f>
        <v>30677.552772309769</v>
      </c>
      <c r="H230" s="62">
        <f t="shared" si="89"/>
        <v>30677.552800000001</v>
      </c>
      <c r="I230" s="62">
        <f t="shared" si="91"/>
        <v>-2.7690231945598498E-5</v>
      </c>
      <c r="L230" s="1" t="s">
        <v>44</v>
      </c>
      <c r="M230" s="8" t="s">
        <v>36</v>
      </c>
      <c r="N230" s="57">
        <f>'[3]SYSTEM INVENTORY'!$L$7</f>
        <v>5304.9579999999996</v>
      </c>
      <c r="O230" s="62">
        <f t="shared" si="92"/>
        <v>5304.9576999999999</v>
      </c>
      <c r="P230" s="62">
        <f t="shared" si="93"/>
        <v>2.9999999969732016E-4</v>
      </c>
      <c r="R230" s="1" t="s">
        <v>44</v>
      </c>
      <c r="S230" s="8" t="s">
        <v>36</v>
      </c>
      <c r="T230" s="57">
        <f>'[3]SYSTEM INVENTORY'!$L$8</f>
        <v>911.31399999999996</v>
      </c>
      <c r="U230" s="62">
        <f t="shared" si="90"/>
        <v>911.31410000000005</v>
      </c>
      <c r="V230" s="62">
        <f t="shared" si="95"/>
        <v>-1.0000000008858478E-4</v>
      </c>
      <c r="X230" s="62">
        <f t="shared" si="94"/>
        <v>36893.8246</v>
      </c>
    </row>
    <row r="231" spans="5:24" ht="14.1" customHeight="1" x14ac:dyDescent="0.2">
      <c r="E231" s="8" t="s">
        <v>45</v>
      </c>
      <c r="F231" s="8" t="s">
        <v>36</v>
      </c>
      <c r="G231" s="57">
        <f>'[3]SYSTEM INVENTORY'!$M$6</f>
        <v>30677.552772309769</v>
      </c>
      <c r="H231" s="62">
        <f t="shared" si="89"/>
        <v>30677.552800000001</v>
      </c>
      <c r="I231" s="62">
        <f t="shared" si="91"/>
        <v>-2.7690231945598498E-5</v>
      </c>
      <c r="L231" s="8" t="s">
        <v>45</v>
      </c>
      <c r="M231" s="8" t="s">
        <v>36</v>
      </c>
      <c r="N231" s="57">
        <f>'[3]SYSTEM INVENTORY'!$M$7</f>
        <v>5240.5200000000004</v>
      </c>
      <c r="O231" s="62">
        <f t="shared" si="92"/>
        <v>5240.5196999999998</v>
      </c>
      <c r="P231" s="62">
        <f t="shared" si="93"/>
        <v>3.0000000060681487E-4</v>
      </c>
      <c r="R231" s="8" t="s">
        <v>45</v>
      </c>
      <c r="S231" s="8" t="s">
        <v>36</v>
      </c>
      <c r="T231" s="57">
        <f>'[3]SYSTEM INVENTORY'!$M$8</f>
        <v>927.88099999999997</v>
      </c>
      <c r="U231" s="62">
        <f t="shared" si="90"/>
        <v>927.88079999999991</v>
      </c>
      <c r="V231" s="62">
        <f t="shared" si="95"/>
        <v>2.0000000006348273E-4</v>
      </c>
      <c r="X231" s="62">
        <f t="shared" si="94"/>
        <v>36845.953300000001</v>
      </c>
    </row>
    <row r="232" spans="5:24" ht="14.1" customHeight="1" x14ac:dyDescent="0.2">
      <c r="E232" s="1" t="s">
        <v>46</v>
      </c>
      <c r="F232" s="8" t="s">
        <v>36</v>
      </c>
      <c r="G232" s="57">
        <f>'[3]SYSTEM INVENTORY'!$N$6</f>
        <v>29844.198655346579</v>
      </c>
      <c r="H232" s="62">
        <f t="shared" si="89"/>
        <v>29844.198700000001</v>
      </c>
      <c r="I232" s="62">
        <f t="shared" si="91"/>
        <v>-4.465342135517858E-5</v>
      </c>
      <c r="L232" s="1" t="s">
        <v>46</v>
      </c>
      <c r="M232" s="8" t="s">
        <v>36</v>
      </c>
      <c r="N232" s="57">
        <f>'[3]SYSTEM INVENTORY'!$N$7</f>
        <v>5176.0820000000003</v>
      </c>
      <c r="O232" s="62">
        <f t="shared" si="92"/>
        <v>5176.0816000000004</v>
      </c>
      <c r="P232" s="62">
        <f t="shared" si="93"/>
        <v>3.9999999989959178E-4</v>
      </c>
      <c r="R232" s="1" t="s">
        <v>46</v>
      </c>
      <c r="S232" s="8" t="s">
        <v>36</v>
      </c>
      <c r="T232" s="57">
        <f>'[3]SYSTEM INVENTORY'!$N$8</f>
        <v>1003.0309999999999</v>
      </c>
      <c r="U232" s="62">
        <f t="shared" si="90"/>
        <v>1003.0313</v>
      </c>
      <c r="V232" s="62">
        <f t="shared" si="95"/>
        <v>-3.0000000003838068E-4</v>
      </c>
      <c r="X232" s="62">
        <f t="shared" si="94"/>
        <v>36023.311600000001</v>
      </c>
    </row>
    <row r="233" spans="5:24" ht="14.1" customHeight="1" x14ac:dyDescent="0.2">
      <c r="E233" s="8" t="s">
        <v>33</v>
      </c>
      <c r="F233" s="8" t="s">
        <v>36</v>
      </c>
      <c r="G233" s="57">
        <f>'[3]SYSTEM INVENTORY'!$O$6</f>
        <v>29844.198655346579</v>
      </c>
      <c r="H233" s="62">
        <f t="shared" si="89"/>
        <v>29844.198700000001</v>
      </c>
      <c r="I233" s="62">
        <f t="shared" si="91"/>
        <v>-4.465342135517858E-5</v>
      </c>
      <c r="L233" s="8" t="s">
        <v>33</v>
      </c>
      <c r="M233" s="8" t="s">
        <v>36</v>
      </c>
      <c r="N233" s="57">
        <f>'[3]SYSTEM INVENTORY'!$O$7</f>
        <v>5111.6440000000002</v>
      </c>
      <c r="O233" s="62">
        <f t="shared" si="92"/>
        <v>5111.6435000000001</v>
      </c>
      <c r="P233" s="62">
        <f t="shared" si="93"/>
        <v>5.0000000010186341E-4</v>
      </c>
      <c r="R233" s="8" t="s">
        <v>33</v>
      </c>
      <c r="S233" s="8" t="s">
        <v>36</v>
      </c>
      <c r="T233" s="57">
        <f>'[3]SYSTEM INVENTORY'!$O$8</f>
        <v>1087.8810000000001</v>
      </c>
      <c r="U233" s="62">
        <f t="shared" si="90"/>
        <v>1087.8818000000001</v>
      </c>
      <c r="V233" s="62">
        <f t="shared" si="95"/>
        <v>-8.0000000002655725E-4</v>
      </c>
      <c r="X233" s="62">
        <f>U233+O233+H233</f>
        <v>36043.724000000002</v>
      </c>
    </row>
    <row r="234" spans="5:24" ht="14.1" customHeight="1" x14ac:dyDescent="0.2">
      <c r="S234" s="11"/>
      <c r="T234" s="2"/>
    </row>
    <row r="235" spans="5:24" ht="14.1" customHeight="1" x14ac:dyDescent="0.2">
      <c r="S235" s="11"/>
      <c r="T235" s="2"/>
    </row>
    <row r="236" spans="5:24" ht="14.1" customHeight="1" x14ac:dyDescent="0.2">
      <c r="S236" s="11"/>
      <c r="T236" s="2"/>
    </row>
    <row r="237" spans="5:24" ht="14.1" customHeight="1" x14ac:dyDescent="0.2">
      <c r="S237" s="11"/>
      <c r="T237" s="2"/>
    </row>
  </sheetData>
  <mergeCells count="8">
    <mergeCell ref="U218:U220"/>
    <mergeCell ref="E123:T123"/>
    <mergeCell ref="E177:T177"/>
    <mergeCell ref="E1:T1"/>
    <mergeCell ref="E35:T35"/>
    <mergeCell ref="E89:T89"/>
    <mergeCell ref="H218:H220"/>
    <mergeCell ref="O218:O220"/>
  </mergeCells>
  <phoneticPr fontId="2" type="noConversion"/>
  <printOptions horizontalCentered="1" verticalCentered="1"/>
  <pageMargins left="0.5" right="0.5" top="1.25" bottom="0.35" header="0.5" footer="0.25"/>
  <pageSetup scale="56" fitToHeight="0" orientation="landscape" blackAndWhite="1" horizontalDpi="4294967295" verticalDpi="300" r:id="rId1"/>
  <headerFooter alignWithMargins="0"/>
  <rowBreaks count="5" manualBreakCount="5">
    <brk id="34" max="23" man="1"/>
    <brk id="88" max="16383" man="1"/>
    <brk id="122" max="16383" man="1"/>
    <brk id="176" max="16383" man="1"/>
    <brk id="217" max="23" man="1"/>
  </rowBreaks>
  <colBreaks count="3" manualBreakCount="3">
    <brk id="11" max="1048575" man="1"/>
    <brk id="12" max="1048575" man="1"/>
    <brk id="15" max="1048575" man="1"/>
  </colBreaks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7EC8C5-063E-4145-B0AE-B1761E8835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907368-61FA-4D04-976A-2463EA7D0E21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3.xml><?xml version="1.0" encoding="utf-8"?>
<ds:datastoreItem xmlns:ds="http://schemas.openxmlformats.org/officeDocument/2006/customXml" ds:itemID="{365A14A6-5EB9-4A9C-B367-268B5CDC04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B-18</vt:lpstr>
      <vt:lpstr>PG_14</vt:lpstr>
      <vt:lpstr>PG_15</vt:lpstr>
      <vt:lpstr>PG_16</vt:lpstr>
      <vt:lpstr>PG_17</vt:lpstr>
      <vt:lpstr>PG_18</vt:lpstr>
      <vt:lpstr>'B-18'!Print_Area</vt:lpstr>
    </vt:vector>
  </TitlesOfParts>
  <Manager/>
  <Company>TECO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Sloan Lewis</dc:creator>
  <cp:keywords/>
  <dc:description/>
  <cp:lastModifiedBy>Otero, Onixa</cp:lastModifiedBy>
  <cp:revision/>
  <cp:lastPrinted>2024-04-08T20:06:21Z</cp:lastPrinted>
  <dcterms:created xsi:type="dcterms:W3CDTF">2007-07-25T17:48:15Z</dcterms:created>
  <dcterms:modified xsi:type="dcterms:W3CDTF">2024-04-08T20:08:10Z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2023-09-27T15:14:10Z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c3f37ec4-fdbd-4efb-879b-18661e4dba16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764700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